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195" windowHeight="7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Sheet1!$A$1:$W$63</definedName>
  </definedNames>
  <calcPr calcId="179017"/>
</workbook>
</file>

<file path=xl/calcChain.xml><?xml version="1.0" encoding="utf-8"?>
<calcChain xmlns="http://schemas.openxmlformats.org/spreadsheetml/2006/main">
  <c r="S61" i="1" l="1"/>
  <c r="T61" i="1"/>
  <c r="S62" i="1"/>
  <c r="T62" i="1"/>
  <c r="V62" i="1"/>
  <c r="E61" i="1"/>
  <c r="Q61" i="1" l="1"/>
  <c r="V61" i="1" s="1"/>
  <c r="Q62" i="1"/>
  <c r="P62" i="1"/>
  <c r="F58" i="1" l="1"/>
  <c r="E59" i="1" l="1"/>
  <c r="T59" i="1" s="1"/>
  <c r="E60" i="1"/>
  <c r="T60" i="1" s="1"/>
  <c r="T58" i="1"/>
  <c r="Q59" i="1"/>
  <c r="S59" i="1" s="1"/>
  <c r="V59" i="1" l="1"/>
  <c r="Q60" i="1"/>
  <c r="Q58" i="1"/>
  <c r="V58" i="1" l="1"/>
  <c r="S58" i="1"/>
  <c r="V60" i="1"/>
  <c r="S60" i="1"/>
  <c r="T48" i="1"/>
  <c r="T52" i="1"/>
  <c r="T53" i="1"/>
  <c r="T55" i="1"/>
  <c r="T57" i="1"/>
  <c r="P57" i="1"/>
  <c r="Q57" i="1" s="1"/>
  <c r="V57" i="1" s="1"/>
  <c r="P56" i="1"/>
  <c r="E56" i="1"/>
  <c r="T56" i="1" s="1"/>
  <c r="I56" i="1"/>
  <c r="H56" i="1"/>
  <c r="P55" i="1"/>
  <c r="H55" i="1"/>
  <c r="P54" i="1"/>
  <c r="H54" i="1"/>
  <c r="E54" i="1"/>
  <c r="T54" i="1" s="1"/>
  <c r="N54" i="1"/>
  <c r="I54" i="1"/>
  <c r="P53" i="1"/>
  <c r="N53" i="1"/>
  <c r="H53" i="1"/>
  <c r="P52" i="1"/>
  <c r="L52" i="1"/>
  <c r="I52" i="1"/>
  <c r="H52" i="1"/>
  <c r="E51" i="1"/>
  <c r="T51" i="1" s="1"/>
  <c r="H51" i="1"/>
  <c r="P51" i="1"/>
  <c r="Q51" i="1" s="1"/>
  <c r="V51" i="1" s="1"/>
  <c r="Q52" i="1" l="1"/>
  <c r="S52" i="1" s="1"/>
  <c r="Q53" i="1"/>
  <c r="V53" i="1" s="1"/>
  <c r="Q55" i="1"/>
  <c r="S55" i="1" s="1"/>
  <c r="Q54" i="1"/>
  <c r="V54" i="1" s="1"/>
  <c r="Q56" i="1"/>
  <c r="S56" i="1" s="1"/>
  <c r="S57" i="1"/>
  <c r="S51" i="1"/>
  <c r="V52" i="1"/>
  <c r="V55" i="1"/>
  <c r="P50" i="1"/>
  <c r="Q50" i="1" s="1"/>
  <c r="C50" i="1"/>
  <c r="T50" i="1" s="1"/>
  <c r="Q49" i="1"/>
  <c r="C49" i="1"/>
  <c r="T49" i="1" s="1"/>
  <c r="P48" i="1"/>
  <c r="Q48" i="1" s="1"/>
  <c r="S54" i="1" l="1"/>
  <c r="S53" i="1"/>
  <c r="V56" i="1"/>
  <c r="V48" i="1"/>
  <c r="S48" i="1"/>
  <c r="S49" i="1"/>
  <c r="V49" i="1"/>
  <c r="V50" i="1"/>
  <c r="S50" i="1"/>
  <c r="T47" i="1"/>
  <c r="Q47" i="1"/>
  <c r="V47" i="1" s="1"/>
  <c r="S47" i="1" l="1"/>
  <c r="T46" i="1"/>
  <c r="P46" i="1"/>
  <c r="Q46" i="1" s="1"/>
  <c r="V46" i="1" s="1"/>
  <c r="S46" i="1" l="1"/>
  <c r="P32" i="1"/>
  <c r="P33" i="1"/>
  <c r="H22" i="1"/>
  <c r="Q45" i="1"/>
  <c r="V45" i="1" s="1"/>
  <c r="Q44" i="1"/>
  <c r="V44" i="1" s="1"/>
  <c r="Q43" i="1"/>
  <c r="V43" i="1" s="1"/>
  <c r="T45" i="1"/>
  <c r="T44" i="1"/>
  <c r="T43" i="1"/>
  <c r="Q42" i="1"/>
  <c r="S45" i="1" l="1"/>
  <c r="S43" i="1"/>
  <c r="S42" i="1"/>
  <c r="V42" i="1"/>
  <c r="S44" i="1"/>
  <c r="T18" i="1"/>
  <c r="Q18" i="1"/>
  <c r="U18" i="1" s="1"/>
  <c r="V18" i="1" s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3" i="1"/>
  <c r="T22" i="1"/>
  <c r="T21" i="1"/>
  <c r="T24" i="1"/>
  <c r="T20" i="1"/>
  <c r="T19" i="1"/>
  <c r="T17" i="1"/>
  <c r="T16" i="1"/>
  <c r="T15" i="1"/>
  <c r="T14" i="1"/>
  <c r="T13" i="1"/>
  <c r="T12" i="1"/>
  <c r="T11" i="1"/>
  <c r="T10" i="1"/>
  <c r="T9" i="1"/>
  <c r="T8" i="1"/>
  <c r="T7" i="1"/>
  <c r="Q36" i="1"/>
  <c r="U36" i="1" s="1"/>
  <c r="V36" i="1" s="1"/>
  <c r="Q14" i="1"/>
  <c r="S14" i="1" s="1"/>
  <c r="Q12" i="1"/>
  <c r="S12" i="1" s="1"/>
  <c r="Q39" i="1"/>
  <c r="U39" i="1" s="1"/>
  <c r="V39" i="1" s="1"/>
  <c r="Q16" i="1"/>
  <c r="U16" i="1" s="1"/>
  <c r="V16" i="1" s="1"/>
  <c r="Q35" i="1"/>
  <c r="U35" i="1" s="1"/>
  <c r="V35" i="1" s="1"/>
  <c r="Q13" i="1"/>
  <c r="S13" i="1" s="1"/>
  <c r="Q9" i="1"/>
  <c r="S9" i="1" s="1"/>
  <c r="Q17" i="1"/>
  <c r="S17" i="1" s="1"/>
  <c r="Q29" i="1"/>
  <c r="S29" i="1" s="1"/>
  <c r="Q41" i="1"/>
  <c r="S41" i="1" s="1"/>
  <c r="Q37" i="1"/>
  <c r="U37" i="1" s="1"/>
  <c r="V37" i="1" s="1"/>
  <c r="U13" i="1" l="1"/>
  <c r="V13" i="1" s="1"/>
  <c r="S35" i="1"/>
  <c r="S37" i="1"/>
  <c r="S18" i="1"/>
  <c r="U29" i="1"/>
  <c r="V29" i="1" s="1"/>
  <c r="U41" i="1"/>
  <c r="V41" i="1" s="1"/>
  <c r="U17" i="1"/>
  <c r="V17" i="1" s="1"/>
  <c r="U9" i="1"/>
  <c r="V9" i="1" s="1"/>
  <c r="S16" i="1"/>
  <c r="S39" i="1"/>
  <c r="U12" i="1"/>
  <c r="V12" i="1" s="1"/>
  <c r="U14" i="1"/>
  <c r="V14" i="1" s="1"/>
  <c r="S36" i="1"/>
  <c r="Q38" i="1"/>
  <c r="Q15" i="1"/>
  <c r="Q19" i="1"/>
  <c r="Q33" i="1"/>
  <c r="U33" i="1" l="1"/>
  <c r="V33" i="1" s="1"/>
  <c r="S33" i="1"/>
  <c r="U19" i="1"/>
  <c r="V19" i="1" s="1"/>
  <c r="S19" i="1"/>
  <c r="S15" i="1"/>
  <c r="U15" i="1"/>
  <c r="V15" i="1" s="1"/>
  <c r="S38" i="1"/>
  <c r="U38" i="1"/>
  <c r="V38" i="1" s="1"/>
  <c r="Q27" i="1"/>
  <c r="Q32" i="1"/>
  <c r="Q24" i="1"/>
  <c r="Q23" i="1"/>
  <c r="Q30" i="1"/>
  <c r="Q20" i="1"/>
  <c r="Q8" i="1"/>
  <c r="Q21" i="1"/>
  <c r="Q7" i="1"/>
  <c r="Q22" i="1"/>
  <c r="Q31" i="1"/>
  <c r="Q25" i="1"/>
  <c r="Q28" i="1"/>
  <c r="Q40" i="1"/>
  <c r="Q34" i="1"/>
  <c r="Q26" i="1"/>
  <c r="Q11" i="1"/>
  <c r="Q10" i="1"/>
  <c r="S10" i="1" l="1"/>
  <c r="U10" i="1"/>
  <c r="V10" i="1" s="1"/>
  <c r="S11" i="1"/>
  <c r="U11" i="1"/>
  <c r="V11" i="1" s="1"/>
  <c r="U26" i="1"/>
  <c r="V26" i="1" s="1"/>
  <c r="S26" i="1"/>
  <c r="S34" i="1"/>
  <c r="U34" i="1"/>
  <c r="V34" i="1" s="1"/>
  <c r="S40" i="1"/>
  <c r="U40" i="1"/>
  <c r="V40" i="1" s="1"/>
  <c r="S28" i="1"/>
  <c r="U28" i="1"/>
  <c r="V28" i="1" s="1"/>
  <c r="U25" i="1"/>
  <c r="V25" i="1" s="1"/>
  <c r="S25" i="1"/>
  <c r="U31" i="1"/>
  <c r="V31" i="1" s="1"/>
  <c r="S31" i="1"/>
  <c r="S22" i="1"/>
  <c r="U22" i="1"/>
  <c r="V22" i="1" s="1"/>
  <c r="S7" i="1"/>
  <c r="U7" i="1"/>
  <c r="V7" i="1" s="1"/>
  <c r="U21" i="1"/>
  <c r="V21" i="1" s="1"/>
  <c r="S21" i="1"/>
  <c r="U8" i="1"/>
  <c r="V8" i="1" s="1"/>
  <c r="S8" i="1"/>
  <c r="U20" i="1"/>
  <c r="V20" i="1" s="1"/>
  <c r="S20" i="1"/>
  <c r="U30" i="1"/>
  <c r="V30" i="1" s="1"/>
  <c r="S30" i="1"/>
  <c r="U23" i="1"/>
  <c r="V23" i="1" s="1"/>
  <c r="S23" i="1"/>
  <c r="U24" i="1"/>
  <c r="V24" i="1" s="1"/>
  <c r="S24" i="1"/>
  <c r="U32" i="1"/>
  <c r="V32" i="1" s="1"/>
  <c r="S32" i="1"/>
  <c r="S27" i="1"/>
  <c r="U27" i="1"/>
  <c r="V27" i="1" s="1"/>
</calcChain>
</file>

<file path=xl/sharedStrings.xml><?xml version="1.0" encoding="utf-8"?>
<sst xmlns="http://schemas.openxmlformats.org/spreadsheetml/2006/main" count="212" uniqueCount="98">
  <si>
    <t>Charter School</t>
  </si>
  <si>
    <t>MA</t>
  </si>
  <si>
    <t>Dated</t>
  </si>
  <si>
    <t>Date</t>
  </si>
  <si>
    <t>Amount</t>
  </si>
  <si>
    <t>UW</t>
  </si>
  <si>
    <t>Spread</t>
  </si>
  <si>
    <t>Fee</t>
  </si>
  <si>
    <t>Bond</t>
  </si>
  <si>
    <t>Counsel</t>
  </si>
  <si>
    <t>School's</t>
  </si>
  <si>
    <t>Trustee</t>
  </si>
  <si>
    <t>American Prepatory Academy</t>
  </si>
  <si>
    <t>UCSFA</t>
  </si>
  <si>
    <t>Other</t>
  </si>
  <si>
    <t>Total</t>
  </si>
  <si>
    <t>DaVinci Academy</t>
  </si>
  <si>
    <t>Ogden Prepatory Academy</t>
  </si>
  <si>
    <t>Rating</t>
  </si>
  <si>
    <t>Expense</t>
  </si>
  <si>
    <t>Hawthorn Academy</t>
  </si>
  <si>
    <t>Firm</t>
  </si>
  <si>
    <t>Baird</t>
  </si>
  <si>
    <t>Zions</t>
  </si>
  <si>
    <t>Utah Charter Academies</t>
  </si>
  <si>
    <t>Wasatch Peak Academy</t>
  </si>
  <si>
    <t>Salt Lake Arts Academy</t>
  </si>
  <si>
    <t>DA Davidson</t>
  </si>
  <si>
    <t>Itineris</t>
  </si>
  <si>
    <t>Summit Academy</t>
  </si>
  <si>
    <t>Noah Webster Academy</t>
  </si>
  <si>
    <t>George Washington Academy</t>
  </si>
  <si>
    <t>Piper</t>
  </si>
  <si>
    <t>Providence Hall</t>
  </si>
  <si>
    <t>Maeser Academy</t>
  </si>
  <si>
    <t>Lincoln Academy</t>
  </si>
  <si>
    <t>Ziegler</t>
  </si>
  <si>
    <t>Monticello Academy</t>
  </si>
  <si>
    <t>Citi</t>
  </si>
  <si>
    <t>Endeavor Hall</t>
  </si>
  <si>
    <t>Early Light Academy</t>
  </si>
  <si>
    <t>Oquirrh Mountain</t>
  </si>
  <si>
    <t>Good Foundations</t>
  </si>
  <si>
    <t>Wedbush</t>
  </si>
  <si>
    <t>Lakeview Academy</t>
  </si>
  <si>
    <t>Entheos Academy</t>
  </si>
  <si>
    <t>Legacy Preparatory Academy</t>
  </si>
  <si>
    <t>Aquila</t>
  </si>
  <si>
    <t>North Davis Preparatory Academy</t>
  </si>
  <si>
    <t>RBC</t>
  </si>
  <si>
    <t>North Star Academy</t>
  </si>
  <si>
    <t>Mountainville Academy</t>
  </si>
  <si>
    <t>Stifel</t>
  </si>
  <si>
    <t xml:space="preserve">Paradigm </t>
  </si>
  <si>
    <t>Navagator Pointe Academy</t>
  </si>
  <si>
    <t>Venture Academy</t>
  </si>
  <si>
    <t>Utah Charter School Finance Authority</t>
  </si>
  <si>
    <t>Summary of Bonding Costs</t>
  </si>
  <si>
    <t>Total COI</t>
  </si>
  <si>
    <t>Per $1,000</t>
  </si>
  <si>
    <t xml:space="preserve">UW Spread </t>
  </si>
  <si>
    <t>Total COI - Other</t>
  </si>
  <si>
    <t>Less Other</t>
  </si>
  <si>
    <t>Verapath</t>
  </si>
  <si>
    <t>Providence</t>
  </si>
  <si>
    <t>LYRB</t>
  </si>
  <si>
    <t>Crossroads</t>
  </si>
  <si>
    <t>Caldwell</t>
  </si>
  <si>
    <t>Buck</t>
  </si>
  <si>
    <t>GS/DP</t>
  </si>
  <si>
    <t>Vista at Entrada School of P.A.</t>
  </si>
  <si>
    <t>Spectrum Academy</t>
  </si>
  <si>
    <t>American Leadership Academy</t>
  </si>
  <si>
    <t>Karl G. Maeser Academy</t>
  </si>
  <si>
    <t>M.A. Brought</t>
  </si>
  <si>
    <t>on Late</t>
  </si>
  <si>
    <t>X</t>
  </si>
  <si>
    <t>Reagam Academy</t>
  </si>
  <si>
    <t>D.A. Davidson</t>
  </si>
  <si>
    <t>G.K. Baum</t>
  </si>
  <si>
    <t>Channing Hall</t>
  </si>
  <si>
    <t>Voyage Academy</t>
  </si>
  <si>
    <t>Dual Immersion Academy</t>
  </si>
  <si>
    <t>*DaVinci Academy</t>
  </si>
  <si>
    <t>*Quest Academy</t>
  </si>
  <si>
    <t>Freedom Academy</t>
  </si>
  <si>
    <t>Rockwell</t>
  </si>
  <si>
    <t>Syracuse Arts Academy</t>
  </si>
  <si>
    <t>DA Davidson/Stifel Nicolaus</t>
  </si>
  <si>
    <t>Municipal Capital Markets Group, Inc</t>
  </si>
  <si>
    <t>Stifel Nicolaus/D.A. Davidson</t>
  </si>
  <si>
    <t>UCA</t>
  </si>
  <si>
    <t>Scholar</t>
  </si>
  <si>
    <t xml:space="preserve">Wasatch </t>
  </si>
  <si>
    <t>Crews and Associates</t>
  </si>
  <si>
    <t>Par</t>
  </si>
  <si>
    <t>UCAS</t>
  </si>
  <si>
    <t>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</si>
</sst>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164" fontId="0" fillId="4" borderId="8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164" fontId="0" fillId="3" borderId="8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4" fontId="0" fillId="2" borderId="9" xfId="1" applyFont="1" applyFill="1" applyBorder="1"/>
    <xf numFmtId="44" fontId="0" fillId="2" borderId="0" xfId="1" applyFont="1" applyFill="1" applyBorder="1"/>
    <xf numFmtId="44" fontId="0" fillId="2" borderId="10" xfId="1" applyFont="1" applyFill="1" applyBorder="1"/>
    <xf numFmtId="0" fontId="0" fillId="0" borderId="8" xfId="0" applyFill="1" applyBorder="1"/>
    <xf numFmtId="14" fontId="0" fillId="0" borderId="9" xfId="0" applyNumberForma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/>
    <xf numFmtId="165" fontId="0" fillId="0" borderId="0" xfId="2" applyNumberFormat="1" applyFont="1"/>
    <xf numFmtId="165" fontId="0" fillId="0" borderId="0" xfId="2" applyNumberFormat="1" applyFont="1" applyFill="1" applyBorder="1"/>
    <xf numFmtId="0" fontId="4" fillId="0" borderId="0" xfId="0" applyFont="1" applyFill="1"/>
    <xf numFmtId="43" fontId="0" fillId="2" borderId="9" xfId="2" applyNumberFormat="1" applyFont="1" applyFill="1" applyBorder="1"/>
    <xf numFmtId="43" fontId="0" fillId="2" borderId="0" xfId="2" applyNumberFormat="1" applyFont="1" applyFill="1" applyBorder="1"/>
    <xf numFmtId="43" fontId="0" fillId="2" borderId="10" xfId="2" applyNumberFormat="1" applyFont="1" applyFill="1" applyBorder="1"/>
    <xf numFmtId="43" fontId="0" fillId="0" borderId="0" xfId="2" applyNumberFormat="1" applyFont="1"/>
    <xf numFmtId="0" fontId="0" fillId="0" borderId="3" xfId="0" applyBorder="1"/>
    <xf numFmtId="164" fontId="0" fillId="0" borderId="10" xfId="1" applyNumberFormat="1" applyFont="1" applyBorder="1"/>
    <xf numFmtId="165" fontId="0" fillId="0" borderId="10" xfId="2" applyNumberFormat="1" applyFont="1" applyBorder="1"/>
    <xf numFmtId="165" fontId="0" fillId="0" borderId="0" xfId="2" applyNumberFormat="1" applyFont="1" applyFill="1"/>
    <xf numFmtId="43" fontId="0" fillId="0" borderId="0" xfId="2" applyFont="1"/>
    <xf numFmtId="9" fontId="0" fillId="0" borderId="0" xfId="3" applyFont="1"/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view="pageBreakPreview" zoomScale="60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G67" sqref="G67"/>
    </sheetView>
  </sheetViews>
  <sheetFormatPr defaultRowHeight="15" x14ac:dyDescent="0.25"/>
  <cols>
    <col min="1" max="1" width="30.42578125" customWidth="1"/>
    <col min="2" max="2" width="10.7109375" customWidth="1"/>
    <col min="3" max="3" width="14.85546875" customWidth="1"/>
    <col min="4" max="4" width="32.5703125" bestFit="1" customWidth="1"/>
    <col min="5" max="6" width="10.7109375" customWidth="1"/>
    <col min="7" max="7" width="11.85546875" customWidth="1"/>
    <col min="8" max="16" width="10.7109375" customWidth="1"/>
    <col min="17" max="17" width="13" customWidth="1"/>
    <col min="18" max="18" width="3" customWidth="1"/>
    <col min="19" max="19" width="14.85546875" customWidth="1"/>
    <col min="20" max="20" width="15.5703125" customWidth="1"/>
    <col min="21" max="21" width="15.5703125" hidden="1" customWidth="1"/>
    <col min="22" max="22" width="16.7109375" customWidth="1"/>
    <col min="23" max="23" width="12.5703125" style="33" hidden="1" customWidth="1"/>
  </cols>
  <sheetData>
    <row r="1" spans="1:23" ht="18" x14ac:dyDescent="0.3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23" ht="18" x14ac:dyDescent="0.35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4" spans="1:23" ht="14.45" x14ac:dyDescent="0.3">
      <c r="A4" s="7"/>
      <c r="B4" s="3" t="s">
        <v>2</v>
      </c>
      <c r="C4" s="3" t="s">
        <v>95</v>
      </c>
      <c r="D4" s="12" t="s">
        <v>5</v>
      </c>
      <c r="E4" s="3" t="s">
        <v>5</v>
      </c>
      <c r="F4" s="3" t="s">
        <v>5</v>
      </c>
      <c r="G4" s="16" t="s">
        <v>1</v>
      </c>
      <c r="H4" s="3" t="s">
        <v>1</v>
      </c>
      <c r="I4" s="3" t="s">
        <v>8</v>
      </c>
      <c r="J4" s="3" t="s">
        <v>13</v>
      </c>
      <c r="K4" s="3" t="s">
        <v>13</v>
      </c>
      <c r="L4" s="3" t="s">
        <v>10</v>
      </c>
      <c r="M4" s="3" t="s">
        <v>11</v>
      </c>
      <c r="N4" s="3" t="s">
        <v>18</v>
      </c>
      <c r="O4" s="3" t="s">
        <v>18</v>
      </c>
      <c r="P4" s="3" t="s">
        <v>14</v>
      </c>
      <c r="Q4" s="4" t="s">
        <v>15</v>
      </c>
      <c r="S4" s="20" t="s">
        <v>58</v>
      </c>
      <c r="T4" s="11" t="s">
        <v>60</v>
      </c>
      <c r="U4" s="11" t="s">
        <v>58</v>
      </c>
      <c r="V4" s="21" t="s">
        <v>61</v>
      </c>
      <c r="W4" s="23" t="s">
        <v>74</v>
      </c>
    </row>
    <row r="5" spans="1:23" ht="14.45" x14ac:dyDescent="0.3">
      <c r="A5" s="8" t="s">
        <v>0</v>
      </c>
      <c r="B5" s="5" t="s">
        <v>3</v>
      </c>
      <c r="C5" s="5" t="s">
        <v>4</v>
      </c>
      <c r="D5" s="13" t="s">
        <v>21</v>
      </c>
      <c r="E5" s="5" t="s">
        <v>6</v>
      </c>
      <c r="F5" s="5" t="s">
        <v>9</v>
      </c>
      <c r="G5" s="17" t="s">
        <v>21</v>
      </c>
      <c r="H5" s="5" t="s">
        <v>7</v>
      </c>
      <c r="I5" s="5" t="s">
        <v>9</v>
      </c>
      <c r="J5" s="5" t="s">
        <v>9</v>
      </c>
      <c r="K5" s="5" t="s">
        <v>1</v>
      </c>
      <c r="L5" s="5" t="s">
        <v>9</v>
      </c>
      <c r="M5" s="5" t="s">
        <v>7</v>
      </c>
      <c r="N5" s="5" t="s">
        <v>7</v>
      </c>
      <c r="O5" s="5" t="s">
        <v>19</v>
      </c>
      <c r="P5" s="5"/>
      <c r="Q5" s="6"/>
      <c r="S5" s="22" t="s">
        <v>59</v>
      </c>
      <c r="T5" s="23" t="s">
        <v>59</v>
      </c>
      <c r="U5" s="23" t="s">
        <v>62</v>
      </c>
      <c r="V5" s="24" t="s">
        <v>59</v>
      </c>
      <c r="W5" s="23" t="s">
        <v>75</v>
      </c>
    </row>
    <row r="6" spans="1:23" ht="14.45" x14ac:dyDescent="0.3">
      <c r="A6" s="10"/>
      <c r="D6" s="14"/>
      <c r="G6" s="18"/>
      <c r="J6" s="2"/>
      <c r="Q6" s="43"/>
      <c r="S6" s="25"/>
      <c r="T6" s="26"/>
      <c r="U6" s="26"/>
      <c r="V6" s="27"/>
    </row>
    <row r="7" spans="1:23" ht="14.45" x14ac:dyDescent="0.3">
      <c r="A7" s="9" t="s">
        <v>29</v>
      </c>
      <c r="B7" s="1">
        <v>39429</v>
      </c>
      <c r="C7" s="2">
        <v>17900000</v>
      </c>
      <c r="D7" s="15" t="s">
        <v>27</v>
      </c>
      <c r="E7" s="2">
        <v>295350</v>
      </c>
      <c r="F7" s="2">
        <v>0</v>
      </c>
      <c r="G7" s="19" t="s">
        <v>67</v>
      </c>
      <c r="H7" s="2">
        <v>5000</v>
      </c>
      <c r="I7" s="2">
        <v>80000</v>
      </c>
      <c r="J7" s="2">
        <v>0</v>
      </c>
      <c r="K7" s="2">
        <v>0</v>
      </c>
      <c r="L7" s="2">
        <v>55635</v>
      </c>
      <c r="M7" s="2">
        <v>5000</v>
      </c>
      <c r="N7" s="2">
        <v>20000</v>
      </c>
      <c r="O7" s="2">
        <v>0</v>
      </c>
      <c r="P7" s="2">
        <v>10000</v>
      </c>
      <c r="Q7" s="44">
        <f t="shared" ref="Q7:Q46" si="0">SUM(E7:P7)</f>
        <v>470985</v>
      </c>
      <c r="S7" s="28">
        <f t="shared" ref="S7:S45" si="1">SUM(Q7/C7)*1000</f>
        <v>26.312011173184359</v>
      </c>
      <c r="T7" s="29">
        <f t="shared" ref="T7:T45" si="2">SUM(E7/C7)*1000</f>
        <v>16.5</v>
      </c>
      <c r="U7" s="29">
        <f t="shared" ref="U7:U41" si="3">SUM(Q7-P7)</f>
        <v>460985</v>
      </c>
      <c r="V7" s="30">
        <f t="shared" ref="V7:V41" si="4">SUM(U7/C7)*1000</f>
        <v>25.753351955307259</v>
      </c>
    </row>
    <row r="8" spans="1:23" ht="14.45" x14ac:dyDescent="0.3">
      <c r="A8" s="9" t="s">
        <v>30</v>
      </c>
      <c r="B8" s="1">
        <v>39471</v>
      </c>
      <c r="C8" s="36">
        <v>9800000</v>
      </c>
      <c r="D8" s="15" t="s">
        <v>22</v>
      </c>
      <c r="E8" s="36">
        <v>203500</v>
      </c>
      <c r="F8" s="36">
        <v>50000</v>
      </c>
      <c r="G8" s="19" t="s">
        <v>64</v>
      </c>
      <c r="H8" s="36">
        <v>98000</v>
      </c>
      <c r="I8" s="36">
        <v>50000</v>
      </c>
      <c r="J8" s="36">
        <v>18700</v>
      </c>
      <c r="K8" s="36">
        <v>5000</v>
      </c>
      <c r="L8" s="36">
        <v>60000</v>
      </c>
      <c r="M8" s="36">
        <v>4500</v>
      </c>
      <c r="N8" s="36">
        <v>0</v>
      </c>
      <c r="O8" s="36">
        <v>0</v>
      </c>
      <c r="P8" s="36">
        <v>35116</v>
      </c>
      <c r="Q8" s="45">
        <f t="shared" si="0"/>
        <v>524816</v>
      </c>
      <c r="R8" s="36"/>
      <c r="S8" s="39">
        <f t="shared" si="1"/>
        <v>53.55265306122449</v>
      </c>
      <c r="T8" s="40">
        <f t="shared" si="2"/>
        <v>20.76530612244898</v>
      </c>
      <c r="U8" s="40">
        <f t="shared" si="3"/>
        <v>489700</v>
      </c>
      <c r="V8" s="41">
        <f t="shared" si="4"/>
        <v>49.969387755102041</v>
      </c>
    </row>
    <row r="9" spans="1:23" ht="14.45" x14ac:dyDescent="0.3">
      <c r="A9" s="9" t="s">
        <v>46</v>
      </c>
      <c r="B9" s="1">
        <v>39849</v>
      </c>
      <c r="C9" s="36">
        <v>7800000</v>
      </c>
      <c r="D9" s="15" t="s">
        <v>47</v>
      </c>
      <c r="E9" s="36">
        <v>78000</v>
      </c>
      <c r="F9" s="36">
        <v>0</v>
      </c>
      <c r="G9" s="19" t="s">
        <v>64</v>
      </c>
      <c r="H9" s="36">
        <v>79038</v>
      </c>
      <c r="I9" s="36">
        <v>40000</v>
      </c>
      <c r="J9" s="36">
        <v>16520</v>
      </c>
      <c r="K9" s="36">
        <v>5000</v>
      </c>
      <c r="L9" s="36">
        <v>50000</v>
      </c>
      <c r="M9" s="36">
        <v>3300</v>
      </c>
      <c r="N9" s="36">
        <v>0</v>
      </c>
      <c r="O9" s="36">
        <v>0</v>
      </c>
      <c r="P9" s="36">
        <v>6900</v>
      </c>
      <c r="Q9" s="45">
        <f t="shared" si="0"/>
        <v>278758</v>
      </c>
      <c r="R9" s="36"/>
      <c r="S9" s="39">
        <f t="shared" si="1"/>
        <v>35.738205128205131</v>
      </c>
      <c r="T9" s="40">
        <f t="shared" si="2"/>
        <v>10</v>
      </c>
      <c r="U9" s="40">
        <f t="shared" si="3"/>
        <v>271858</v>
      </c>
      <c r="V9" s="41">
        <f t="shared" si="4"/>
        <v>34.853589743589744</v>
      </c>
    </row>
    <row r="10" spans="1:23" ht="14.45" x14ac:dyDescent="0.3">
      <c r="A10" s="9" t="s">
        <v>12</v>
      </c>
      <c r="B10" s="1">
        <v>39878</v>
      </c>
      <c r="C10" s="36">
        <v>6900000</v>
      </c>
      <c r="D10" s="15"/>
      <c r="E10" s="36">
        <v>50000</v>
      </c>
      <c r="F10" s="36">
        <v>20000</v>
      </c>
      <c r="G10" s="19"/>
      <c r="H10" s="36">
        <v>68250</v>
      </c>
      <c r="I10" s="36">
        <v>50000</v>
      </c>
      <c r="J10" s="36">
        <v>15710</v>
      </c>
      <c r="K10" s="36">
        <v>5000</v>
      </c>
      <c r="L10" s="36">
        <v>20000</v>
      </c>
      <c r="M10" s="36">
        <v>3300</v>
      </c>
      <c r="N10" s="36">
        <v>0</v>
      </c>
      <c r="O10" s="36">
        <v>0</v>
      </c>
      <c r="P10" s="36">
        <v>2000</v>
      </c>
      <c r="Q10" s="45">
        <f t="shared" si="0"/>
        <v>234260</v>
      </c>
      <c r="R10" s="36"/>
      <c r="S10" s="39">
        <f t="shared" si="1"/>
        <v>33.950724637681162</v>
      </c>
      <c r="T10" s="40">
        <f t="shared" si="2"/>
        <v>7.2463768115942031</v>
      </c>
      <c r="U10" s="40">
        <f t="shared" si="3"/>
        <v>232260</v>
      </c>
      <c r="V10" s="41">
        <f t="shared" si="4"/>
        <v>33.660869565217389</v>
      </c>
    </row>
    <row r="11" spans="1:23" ht="14.45" x14ac:dyDescent="0.3">
      <c r="A11" s="9" t="s">
        <v>16</v>
      </c>
      <c r="B11" s="1">
        <v>39892</v>
      </c>
      <c r="C11" s="36">
        <v>6950000</v>
      </c>
      <c r="D11" s="15"/>
      <c r="E11" s="36">
        <v>50000</v>
      </c>
      <c r="F11" s="36">
        <v>20000</v>
      </c>
      <c r="G11" s="19"/>
      <c r="H11" s="36">
        <v>69500</v>
      </c>
      <c r="I11" s="36">
        <v>50000</v>
      </c>
      <c r="J11" s="36">
        <v>15755</v>
      </c>
      <c r="K11" s="36">
        <v>5000</v>
      </c>
      <c r="L11" s="36">
        <v>20000</v>
      </c>
      <c r="M11" s="36">
        <v>3300</v>
      </c>
      <c r="N11" s="36">
        <v>0</v>
      </c>
      <c r="O11" s="36">
        <v>0</v>
      </c>
      <c r="P11" s="36">
        <v>2000</v>
      </c>
      <c r="Q11" s="45">
        <f t="shared" si="0"/>
        <v>235555</v>
      </c>
      <c r="R11" s="36"/>
      <c r="S11" s="39">
        <f t="shared" si="1"/>
        <v>33.892805755395685</v>
      </c>
      <c r="T11" s="40">
        <f t="shared" si="2"/>
        <v>7.1942446043165473</v>
      </c>
      <c r="U11" s="40">
        <f t="shared" si="3"/>
        <v>233555</v>
      </c>
      <c r="V11" s="41">
        <f t="shared" si="4"/>
        <v>33.605035971223025</v>
      </c>
    </row>
    <row r="12" spans="1:23" ht="14.45" x14ac:dyDescent="0.3">
      <c r="A12" s="9" t="s">
        <v>53</v>
      </c>
      <c r="B12" s="1">
        <v>40332</v>
      </c>
      <c r="C12" s="36">
        <v>9540000</v>
      </c>
      <c r="D12" s="15" t="s">
        <v>32</v>
      </c>
      <c r="E12" s="36">
        <v>195907</v>
      </c>
      <c r="F12" s="36">
        <v>52350</v>
      </c>
      <c r="G12" s="19" t="s">
        <v>64</v>
      </c>
      <c r="H12" s="36">
        <v>95400</v>
      </c>
      <c r="I12" s="36">
        <v>50000</v>
      </c>
      <c r="J12" s="46">
        <v>2986</v>
      </c>
      <c r="K12" s="36">
        <v>5000</v>
      </c>
      <c r="L12" s="36">
        <v>65000</v>
      </c>
      <c r="M12" s="36">
        <v>3300</v>
      </c>
      <c r="N12" s="36">
        <v>0</v>
      </c>
      <c r="O12" s="36">
        <v>0</v>
      </c>
      <c r="P12" s="36">
        <v>73410</v>
      </c>
      <c r="Q12" s="45">
        <f t="shared" si="0"/>
        <v>543353</v>
      </c>
      <c r="R12" s="36"/>
      <c r="S12" s="39">
        <f t="shared" si="1"/>
        <v>56.95524109014675</v>
      </c>
      <c r="T12" s="40">
        <f t="shared" si="2"/>
        <v>20.5353249475891</v>
      </c>
      <c r="U12" s="40">
        <f t="shared" si="3"/>
        <v>469943</v>
      </c>
      <c r="V12" s="41">
        <f t="shared" si="4"/>
        <v>49.26027253668763</v>
      </c>
    </row>
    <row r="13" spans="1:23" ht="14.45" x14ac:dyDescent="0.3">
      <c r="A13" s="9" t="s">
        <v>48</v>
      </c>
      <c r="B13" s="1">
        <v>40357</v>
      </c>
      <c r="C13" s="36">
        <v>15335000</v>
      </c>
      <c r="D13" s="15" t="s">
        <v>32</v>
      </c>
      <c r="E13" s="36">
        <v>274024.01</v>
      </c>
      <c r="F13" s="36">
        <v>57345</v>
      </c>
      <c r="G13" s="19" t="s">
        <v>64</v>
      </c>
      <c r="H13" s="36">
        <v>115012.5</v>
      </c>
      <c r="I13" s="36">
        <v>50369.24</v>
      </c>
      <c r="J13" s="36">
        <v>23301</v>
      </c>
      <c r="K13" s="36">
        <v>5000</v>
      </c>
      <c r="L13" s="36">
        <v>50000</v>
      </c>
      <c r="M13" s="36">
        <v>3300</v>
      </c>
      <c r="N13" s="36">
        <v>30000</v>
      </c>
      <c r="O13" s="36">
        <v>0</v>
      </c>
      <c r="P13" s="36">
        <v>48212.74</v>
      </c>
      <c r="Q13" s="45">
        <f t="shared" si="0"/>
        <v>656564.49</v>
      </c>
      <c r="R13" s="36"/>
      <c r="S13" s="39">
        <f t="shared" si="1"/>
        <v>42.814769481578082</v>
      </c>
      <c r="T13" s="40">
        <f t="shared" si="2"/>
        <v>17.869188783827845</v>
      </c>
      <c r="U13" s="40">
        <f t="shared" si="3"/>
        <v>608351.75</v>
      </c>
      <c r="V13" s="41">
        <f t="shared" si="4"/>
        <v>39.670802086729708</v>
      </c>
    </row>
    <row r="14" spans="1:23" ht="14.45" x14ac:dyDescent="0.3">
      <c r="A14" s="9" t="s">
        <v>54</v>
      </c>
      <c r="B14" s="1">
        <v>40442</v>
      </c>
      <c r="C14" s="36">
        <v>5110000</v>
      </c>
      <c r="D14" s="15" t="s">
        <v>32</v>
      </c>
      <c r="E14" s="36">
        <v>112700</v>
      </c>
      <c r="F14" s="36">
        <v>41300</v>
      </c>
      <c r="G14" s="19" t="s">
        <v>64</v>
      </c>
      <c r="H14" s="36">
        <v>53600</v>
      </c>
      <c r="I14" s="36">
        <v>50000</v>
      </c>
      <c r="J14" s="36">
        <v>14324</v>
      </c>
      <c r="K14" s="36">
        <v>5000</v>
      </c>
      <c r="L14" s="36">
        <v>40000</v>
      </c>
      <c r="M14" s="36">
        <v>3300</v>
      </c>
      <c r="N14" s="36">
        <v>18750</v>
      </c>
      <c r="O14" s="36">
        <v>0</v>
      </c>
      <c r="P14" s="36">
        <v>20000</v>
      </c>
      <c r="Q14" s="45">
        <f t="shared" si="0"/>
        <v>358974</v>
      </c>
      <c r="R14" s="36"/>
      <c r="S14" s="39">
        <f t="shared" si="1"/>
        <v>70.249315068493146</v>
      </c>
      <c r="T14" s="40">
        <f t="shared" si="2"/>
        <v>22.054794520547944</v>
      </c>
      <c r="U14" s="40">
        <f t="shared" si="3"/>
        <v>338974</v>
      </c>
      <c r="V14" s="41">
        <f t="shared" si="4"/>
        <v>66.335420743639915</v>
      </c>
    </row>
    <row r="15" spans="1:23" ht="14.45" x14ac:dyDescent="0.3">
      <c r="A15" s="9" t="s">
        <v>41</v>
      </c>
      <c r="B15" s="1">
        <v>40533</v>
      </c>
      <c r="C15" s="36">
        <v>12090000</v>
      </c>
      <c r="D15" s="15" t="s">
        <v>32</v>
      </c>
      <c r="E15" s="36">
        <v>247266</v>
      </c>
      <c r="F15" s="36">
        <v>45000</v>
      </c>
      <c r="G15" s="19" t="s">
        <v>64</v>
      </c>
      <c r="H15" s="36">
        <v>95000</v>
      </c>
      <c r="I15" s="36">
        <v>50000</v>
      </c>
      <c r="J15" s="36">
        <v>20381</v>
      </c>
      <c r="K15" s="36">
        <v>5000</v>
      </c>
      <c r="L15" s="36">
        <v>65000</v>
      </c>
      <c r="M15" s="36">
        <v>3300</v>
      </c>
      <c r="N15" s="36">
        <v>0</v>
      </c>
      <c r="O15" s="36"/>
      <c r="P15" s="36">
        <v>31000</v>
      </c>
      <c r="Q15" s="45">
        <f t="shared" si="0"/>
        <v>561947</v>
      </c>
      <c r="R15" s="36"/>
      <c r="S15" s="39">
        <f t="shared" si="1"/>
        <v>46.480314309346561</v>
      </c>
      <c r="T15" s="40">
        <f t="shared" si="2"/>
        <v>20.452109181141438</v>
      </c>
      <c r="U15" s="40">
        <f t="shared" si="3"/>
        <v>530947</v>
      </c>
      <c r="V15" s="41">
        <f t="shared" si="4"/>
        <v>43.916211745243999</v>
      </c>
    </row>
    <row r="16" spans="1:23" ht="14.45" x14ac:dyDescent="0.3">
      <c r="A16" s="9" t="s">
        <v>50</v>
      </c>
      <c r="B16" s="1">
        <v>40533</v>
      </c>
      <c r="C16" s="36">
        <v>7425000</v>
      </c>
      <c r="D16" s="15" t="s">
        <v>32</v>
      </c>
      <c r="E16" s="36">
        <v>140365.26</v>
      </c>
      <c r="F16" s="36">
        <v>45000</v>
      </c>
      <c r="G16" s="19" t="s">
        <v>64</v>
      </c>
      <c r="H16" s="36">
        <v>19100</v>
      </c>
      <c r="I16" s="36">
        <v>50000</v>
      </c>
      <c r="J16" s="36">
        <v>16376</v>
      </c>
      <c r="K16" s="36">
        <v>5000</v>
      </c>
      <c r="L16" s="36">
        <v>25060</v>
      </c>
      <c r="M16" s="36">
        <v>3300</v>
      </c>
      <c r="N16" s="36">
        <v>18750</v>
      </c>
      <c r="O16" s="36">
        <v>0</v>
      </c>
      <c r="P16" s="36">
        <v>20000</v>
      </c>
      <c r="Q16" s="45">
        <f t="shared" si="0"/>
        <v>342951.26</v>
      </c>
      <c r="R16" s="36"/>
      <c r="S16" s="39">
        <f t="shared" si="1"/>
        <v>46.188721885521886</v>
      </c>
      <c r="T16" s="40">
        <f t="shared" si="2"/>
        <v>18.904412121212122</v>
      </c>
      <c r="U16" s="40">
        <f t="shared" si="3"/>
        <v>322951.26</v>
      </c>
      <c r="V16" s="41">
        <f t="shared" si="4"/>
        <v>43.495119191919194</v>
      </c>
    </row>
    <row r="17" spans="1:22" ht="14.45" x14ac:dyDescent="0.3">
      <c r="A17" s="9" t="s">
        <v>20</v>
      </c>
      <c r="B17" s="1">
        <v>40535</v>
      </c>
      <c r="C17" s="36">
        <v>13495000</v>
      </c>
      <c r="D17" s="15" t="s">
        <v>32</v>
      </c>
      <c r="E17" s="36">
        <v>269900</v>
      </c>
      <c r="F17" s="36">
        <v>42000</v>
      </c>
      <c r="G17" s="19" t="s">
        <v>64</v>
      </c>
      <c r="H17" s="36">
        <v>91750</v>
      </c>
      <c r="I17" s="36">
        <v>50000</v>
      </c>
      <c r="J17" s="36">
        <v>21645.5</v>
      </c>
      <c r="K17" s="36">
        <v>5000</v>
      </c>
      <c r="L17" s="36">
        <v>71750</v>
      </c>
      <c r="M17" s="36">
        <v>3300</v>
      </c>
      <c r="N17" s="36">
        <v>0</v>
      </c>
      <c r="O17" s="36">
        <v>0</v>
      </c>
      <c r="P17" s="36">
        <v>34500</v>
      </c>
      <c r="Q17" s="45">
        <f t="shared" si="0"/>
        <v>589845.5</v>
      </c>
      <c r="R17" s="36"/>
      <c r="S17" s="39">
        <f t="shared" si="1"/>
        <v>43.708447573175249</v>
      </c>
      <c r="T17" s="40">
        <f t="shared" si="2"/>
        <v>20</v>
      </c>
      <c r="U17" s="40">
        <f t="shared" si="3"/>
        <v>555345.5</v>
      </c>
      <c r="V17" s="41">
        <f t="shared" si="4"/>
        <v>41.151945164875876</v>
      </c>
    </row>
    <row r="18" spans="1:22" ht="14.45" x14ac:dyDescent="0.3">
      <c r="A18" s="9" t="s">
        <v>24</v>
      </c>
      <c r="B18" s="1">
        <v>40541</v>
      </c>
      <c r="C18" s="36">
        <v>8017250</v>
      </c>
      <c r="D18" s="15" t="s">
        <v>69</v>
      </c>
      <c r="E18" s="36">
        <v>0</v>
      </c>
      <c r="F18" s="36">
        <v>0</v>
      </c>
      <c r="G18" s="19" t="s">
        <v>22</v>
      </c>
      <c r="H18" s="36">
        <v>0</v>
      </c>
      <c r="I18" s="36">
        <v>0</v>
      </c>
      <c r="J18" s="36">
        <v>16715</v>
      </c>
      <c r="K18" s="36">
        <v>5000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45">
        <f t="shared" si="0"/>
        <v>21715</v>
      </c>
      <c r="R18" s="36"/>
      <c r="S18" s="39">
        <f t="shared" si="1"/>
        <v>2.708534722005675</v>
      </c>
      <c r="T18" s="40">
        <f t="shared" si="2"/>
        <v>0</v>
      </c>
      <c r="U18" s="40">
        <f t="shared" si="3"/>
        <v>21715</v>
      </c>
      <c r="V18" s="41">
        <f t="shared" si="4"/>
        <v>2.708534722005675</v>
      </c>
    </row>
    <row r="19" spans="1:22" ht="14.45" x14ac:dyDescent="0.3">
      <c r="A19" s="9" t="s">
        <v>40</v>
      </c>
      <c r="B19" s="1">
        <v>40542</v>
      </c>
      <c r="C19" s="36">
        <v>13330000</v>
      </c>
      <c r="D19" s="15" t="s">
        <v>32</v>
      </c>
      <c r="E19" s="36">
        <v>246600</v>
      </c>
      <c r="F19" s="36">
        <v>40000</v>
      </c>
      <c r="G19" s="19" t="s">
        <v>64</v>
      </c>
      <c r="H19" s="36">
        <v>89577</v>
      </c>
      <c r="I19" s="36">
        <v>50000</v>
      </c>
      <c r="J19" s="36">
        <v>21497</v>
      </c>
      <c r="K19" s="36">
        <v>5000</v>
      </c>
      <c r="L19" s="36">
        <v>35000</v>
      </c>
      <c r="M19" s="36">
        <v>3300</v>
      </c>
      <c r="N19" s="36">
        <v>0</v>
      </c>
      <c r="O19" s="36"/>
      <c r="P19" s="36">
        <v>185912.87</v>
      </c>
      <c r="Q19" s="45">
        <f t="shared" si="0"/>
        <v>676886.87</v>
      </c>
      <c r="R19" s="36"/>
      <c r="S19" s="39">
        <f t="shared" si="1"/>
        <v>50.779210052513129</v>
      </c>
      <c r="T19" s="40">
        <f t="shared" si="2"/>
        <v>18.499624906226558</v>
      </c>
      <c r="U19" s="40">
        <f t="shared" si="3"/>
        <v>490974</v>
      </c>
      <c r="V19" s="41">
        <f t="shared" si="4"/>
        <v>36.832258064516125</v>
      </c>
    </row>
    <row r="20" spans="1:22" ht="14.45" x14ac:dyDescent="0.3">
      <c r="A20" s="9" t="s">
        <v>31</v>
      </c>
      <c r="B20" s="1">
        <v>40582</v>
      </c>
      <c r="C20" s="36">
        <v>5890000</v>
      </c>
      <c r="D20" s="15" t="s">
        <v>32</v>
      </c>
      <c r="E20" s="36">
        <v>122300</v>
      </c>
      <c r="F20" s="36">
        <v>40000</v>
      </c>
      <c r="G20" s="19" t="s">
        <v>64</v>
      </c>
      <c r="H20" s="36">
        <v>44175</v>
      </c>
      <c r="I20" s="36">
        <v>40000</v>
      </c>
      <c r="J20" s="36">
        <v>14801</v>
      </c>
      <c r="K20" s="36">
        <v>5000</v>
      </c>
      <c r="L20" s="36">
        <v>38545</v>
      </c>
      <c r="M20" s="36">
        <v>3300</v>
      </c>
      <c r="N20" s="36">
        <v>18750</v>
      </c>
      <c r="O20" s="36">
        <v>0</v>
      </c>
      <c r="P20" s="36">
        <v>38485.85</v>
      </c>
      <c r="Q20" s="45">
        <f t="shared" si="0"/>
        <v>365356.85</v>
      </c>
      <c r="R20" s="36"/>
      <c r="S20" s="39">
        <f t="shared" si="1"/>
        <v>62.030025466893036</v>
      </c>
      <c r="T20" s="40">
        <f t="shared" si="2"/>
        <v>20.764006791171479</v>
      </c>
      <c r="U20" s="40">
        <f t="shared" si="3"/>
        <v>326871</v>
      </c>
      <c r="V20" s="41">
        <f t="shared" si="4"/>
        <v>55.49592529711375</v>
      </c>
    </row>
    <row r="21" spans="1:22" ht="14.45" x14ac:dyDescent="0.3">
      <c r="A21" s="9" t="s">
        <v>29</v>
      </c>
      <c r="B21" s="1">
        <v>40673</v>
      </c>
      <c r="C21" s="36">
        <v>15930000</v>
      </c>
      <c r="D21" s="15" t="s">
        <v>27</v>
      </c>
      <c r="E21" s="36">
        <v>294705</v>
      </c>
      <c r="F21" s="36">
        <v>0</v>
      </c>
      <c r="G21" s="19" t="s">
        <v>67</v>
      </c>
      <c r="H21" s="36">
        <v>0</v>
      </c>
      <c r="I21" s="36">
        <v>70000</v>
      </c>
      <c r="J21" s="36">
        <v>28337</v>
      </c>
      <c r="K21" s="36">
        <v>5000</v>
      </c>
      <c r="L21" s="36">
        <v>30000</v>
      </c>
      <c r="M21" s="36">
        <v>6000</v>
      </c>
      <c r="N21" s="36">
        <v>0</v>
      </c>
      <c r="O21" s="36">
        <v>0</v>
      </c>
      <c r="P21" s="36">
        <v>21000</v>
      </c>
      <c r="Q21" s="45">
        <f t="shared" si="0"/>
        <v>455042</v>
      </c>
      <c r="R21" s="36"/>
      <c r="S21" s="39">
        <f t="shared" si="1"/>
        <v>28.565097300690521</v>
      </c>
      <c r="T21" s="40">
        <f t="shared" si="2"/>
        <v>18.5</v>
      </c>
      <c r="U21" s="40">
        <f t="shared" si="3"/>
        <v>434042</v>
      </c>
      <c r="V21" s="41">
        <f t="shared" si="4"/>
        <v>27.246829880728185</v>
      </c>
    </row>
    <row r="22" spans="1:22" ht="14.45" x14ac:dyDescent="0.3">
      <c r="A22" s="9" t="s">
        <v>16</v>
      </c>
      <c r="B22" s="1">
        <v>40722</v>
      </c>
      <c r="C22" s="36">
        <v>7770000</v>
      </c>
      <c r="D22" s="15" t="s">
        <v>23</v>
      </c>
      <c r="E22" s="36">
        <v>115773</v>
      </c>
      <c r="F22" s="36">
        <v>0</v>
      </c>
      <c r="G22" s="19" t="s">
        <v>66</v>
      </c>
      <c r="H22" s="36">
        <f>18512+36278</f>
        <v>54790</v>
      </c>
      <c r="I22" s="36">
        <v>67675</v>
      </c>
      <c r="J22" s="36">
        <v>18993</v>
      </c>
      <c r="K22" s="36">
        <v>0</v>
      </c>
      <c r="L22" s="36">
        <v>0</v>
      </c>
      <c r="M22" s="36">
        <v>4500</v>
      </c>
      <c r="N22" s="36">
        <v>22500</v>
      </c>
      <c r="O22" s="36">
        <v>0</v>
      </c>
      <c r="P22" s="36">
        <v>17221</v>
      </c>
      <c r="Q22" s="45">
        <f t="shared" si="0"/>
        <v>301452</v>
      </c>
      <c r="R22" s="36"/>
      <c r="S22" s="39">
        <f t="shared" si="1"/>
        <v>38.796911196911196</v>
      </c>
      <c r="T22" s="40">
        <f t="shared" si="2"/>
        <v>14.9</v>
      </c>
      <c r="U22" s="40">
        <f t="shared" si="3"/>
        <v>284231</v>
      </c>
      <c r="V22" s="41">
        <f t="shared" si="4"/>
        <v>36.580566280566281</v>
      </c>
    </row>
    <row r="23" spans="1:22" ht="14.45" x14ac:dyDescent="0.3">
      <c r="A23" s="9" t="s">
        <v>34</v>
      </c>
      <c r="B23" s="1">
        <v>40760</v>
      </c>
      <c r="C23" s="36">
        <v>10345000</v>
      </c>
      <c r="D23" s="15" t="s">
        <v>23</v>
      </c>
      <c r="E23" s="36">
        <v>103450</v>
      </c>
      <c r="F23" s="36">
        <v>25000</v>
      </c>
      <c r="G23" s="19" t="s">
        <v>23</v>
      </c>
      <c r="H23" s="36">
        <v>0</v>
      </c>
      <c r="I23" s="36">
        <v>31000</v>
      </c>
      <c r="J23" s="36">
        <v>12000</v>
      </c>
      <c r="K23" s="36">
        <v>0</v>
      </c>
      <c r="L23" s="36">
        <v>25000</v>
      </c>
      <c r="M23" s="36">
        <v>2500</v>
      </c>
      <c r="N23" s="36">
        <v>0</v>
      </c>
      <c r="O23" s="36">
        <v>0</v>
      </c>
      <c r="P23" s="36">
        <v>40430</v>
      </c>
      <c r="Q23" s="45">
        <f t="shared" si="0"/>
        <v>239380</v>
      </c>
      <c r="R23" s="36"/>
      <c r="S23" s="39">
        <f t="shared" si="1"/>
        <v>23.139681005316579</v>
      </c>
      <c r="T23" s="40">
        <f t="shared" si="2"/>
        <v>10</v>
      </c>
      <c r="U23" s="40">
        <f t="shared" si="3"/>
        <v>198950</v>
      </c>
      <c r="V23" s="41">
        <f t="shared" si="4"/>
        <v>19.231512808119867</v>
      </c>
    </row>
    <row r="24" spans="1:22" ht="14.45" x14ac:dyDescent="0.3">
      <c r="A24" s="9" t="s">
        <v>70</v>
      </c>
      <c r="B24" s="1">
        <v>40976</v>
      </c>
      <c r="C24" s="36">
        <v>13310000</v>
      </c>
      <c r="D24" s="15" t="s">
        <v>36</v>
      </c>
      <c r="E24" s="36">
        <v>143100</v>
      </c>
      <c r="F24" s="36">
        <v>42000</v>
      </c>
      <c r="G24" s="19" t="s">
        <v>64</v>
      </c>
      <c r="H24" s="36">
        <v>100000</v>
      </c>
      <c r="I24" s="36">
        <v>45000</v>
      </c>
      <c r="J24" s="36">
        <v>21479</v>
      </c>
      <c r="K24" s="36">
        <v>0</v>
      </c>
      <c r="L24" s="36">
        <v>95000</v>
      </c>
      <c r="M24" s="36">
        <v>3300</v>
      </c>
      <c r="N24" s="36">
        <v>28800</v>
      </c>
      <c r="O24" s="36">
        <v>0</v>
      </c>
      <c r="P24" s="36">
        <v>39690.5</v>
      </c>
      <c r="Q24" s="45">
        <f t="shared" si="0"/>
        <v>518369.5</v>
      </c>
      <c r="R24" s="36"/>
      <c r="S24" s="39">
        <f t="shared" si="1"/>
        <v>38.945867768595043</v>
      </c>
      <c r="T24" s="40">
        <f t="shared" si="2"/>
        <v>10.751314800901577</v>
      </c>
      <c r="U24" s="40">
        <f t="shared" si="3"/>
        <v>478679</v>
      </c>
      <c r="V24" s="41">
        <f t="shared" si="4"/>
        <v>35.963861758076639</v>
      </c>
    </row>
    <row r="25" spans="1:22" ht="14.45" x14ac:dyDescent="0.3">
      <c r="A25" s="9" t="s">
        <v>26</v>
      </c>
      <c r="B25" s="1">
        <v>41076</v>
      </c>
      <c r="C25" s="36">
        <v>4610000</v>
      </c>
      <c r="D25" s="15" t="s">
        <v>27</v>
      </c>
      <c r="E25" s="36">
        <v>92200</v>
      </c>
      <c r="F25" s="36">
        <v>22500</v>
      </c>
      <c r="G25" s="19" t="s">
        <v>67</v>
      </c>
      <c r="H25" s="36">
        <v>0</v>
      </c>
      <c r="I25" s="36">
        <v>50000</v>
      </c>
      <c r="J25" s="36">
        <v>14000</v>
      </c>
      <c r="K25" s="36">
        <v>0</v>
      </c>
      <c r="L25" s="36">
        <v>5000</v>
      </c>
      <c r="M25" s="36">
        <v>5500</v>
      </c>
      <c r="N25" s="36">
        <v>16500</v>
      </c>
      <c r="O25" s="36">
        <v>0</v>
      </c>
      <c r="P25" s="36">
        <v>5119.83</v>
      </c>
      <c r="Q25" s="45">
        <f t="shared" si="0"/>
        <v>210819.83</v>
      </c>
      <c r="R25" s="36"/>
      <c r="S25" s="39">
        <f t="shared" si="1"/>
        <v>45.73098264642082</v>
      </c>
      <c r="T25" s="40">
        <f t="shared" si="2"/>
        <v>20</v>
      </c>
      <c r="U25" s="40">
        <f t="shared" si="3"/>
        <v>205700</v>
      </c>
      <c r="V25" s="41">
        <f t="shared" si="4"/>
        <v>44.620390455531457</v>
      </c>
    </row>
    <row r="26" spans="1:22" ht="14.45" x14ac:dyDescent="0.3">
      <c r="A26" s="9" t="s">
        <v>17</v>
      </c>
      <c r="B26" s="1">
        <v>41255</v>
      </c>
      <c r="C26" s="36">
        <v>17810000</v>
      </c>
      <c r="D26" s="15" t="s">
        <v>22</v>
      </c>
      <c r="E26" s="36">
        <v>267150</v>
      </c>
      <c r="F26" s="36">
        <v>50350</v>
      </c>
      <c r="G26" s="19" t="s">
        <v>68</v>
      </c>
      <c r="H26" s="36">
        <v>111312.5</v>
      </c>
      <c r="I26" s="36">
        <v>60000</v>
      </c>
      <c r="J26" s="36">
        <v>26000</v>
      </c>
      <c r="K26" s="36">
        <v>5000</v>
      </c>
      <c r="L26" s="36">
        <v>100000</v>
      </c>
      <c r="M26" s="36">
        <v>6000</v>
      </c>
      <c r="N26" s="36">
        <v>33000</v>
      </c>
      <c r="O26" s="36">
        <v>6150</v>
      </c>
      <c r="P26" s="36">
        <v>69175.38</v>
      </c>
      <c r="Q26" s="45">
        <f t="shared" si="0"/>
        <v>734137.88</v>
      </c>
      <c r="R26" s="36"/>
      <c r="S26" s="39">
        <f t="shared" si="1"/>
        <v>41.220543514879282</v>
      </c>
      <c r="T26" s="40">
        <f t="shared" si="2"/>
        <v>15</v>
      </c>
      <c r="U26" s="40">
        <f t="shared" si="3"/>
        <v>664962.5</v>
      </c>
      <c r="V26" s="41">
        <f t="shared" si="4"/>
        <v>37.336468276249299</v>
      </c>
    </row>
    <row r="27" spans="1:22" ht="14.45" x14ac:dyDescent="0.3">
      <c r="A27" s="9" t="s">
        <v>39</v>
      </c>
      <c r="B27" s="1">
        <v>41256</v>
      </c>
      <c r="C27" s="36">
        <v>8060000</v>
      </c>
      <c r="D27" s="15" t="s">
        <v>32</v>
      </c>
      <c r="E27" s="36">
        <v>157625</v>
      </c>
      <c r="F27" s="36">
        <v>37000</v>
      </c>
      <c r="G27" s="19" t="s">
        <v>64</v>
      </c>
      <c r="H27" s="36">
        <v>32500</v>
      </c>
      <c r="I27" s="36">
        <v>40000</v>
      </c>
      <c r="J27" s="36">
        <v>16632</v>
      </c>
      <c r="K27" s="36">
        <v>5000</v>
      </c>
      <c r="L27" s="36">
        <v>25000</v>
      </c>
      <c r="M27" s="36">
        <v>3300</v>
      </c>
      <c r="N27" s="36">
        <v>0</v>
      </c>
      <c r="O27" s="36">
        <v>0</v>
      </c>
      <c r="P27" s="36">
        <v>24000</v>
      </c>
      <c r="Q27" s="45">
        <f t="shared" si="0"/>
        <v>341057</v>
      </c>
      <c r="R27" s="36"/>
      <c r="S27" s="39">
        <f t="shared" si="1"/>
        <v>42.314764267990071</v>
      </c>
      <c r="T27" s="40">
        <f t="shared" si="2"/>
        <v>19.556451612903228</v>
      </c>
      <c r="U27" s="40">
        <f t="shared" si="3"/>
        <v>317057</v>
      </c>
      <c r="V27" s="41">
        <f t="shared" si="4"/>
        <v>39.337096774193554</v>
      </c>
    </row>
    <row r="28" spans="1:22" ht="14.45" x14ac:dyDescent="0.3">
      <c r="A28" s="9" t="s">
        <v>25</v>
      </c>
      <c r="B28" s="1">
        <v>41478</v>
      </c>
      <c r="C28" s="36">
        <v>5305000</v>
      </c>
      <c r="D28" s="15" t="s">
        <v>22</v>
      </c>
      <c r="E28" s="36">
        <v>83575</v>
      </c>
      <c r="F28" s="36">
        <v>45000</v>
      </c>
      <c r="G28" s="19" t="s">
        <v>68</v>
      </c>
      <c r="H28" s="36">
        <v>26525</v>
      </c>
      <c r="I28" s="36">
        <v>55000</v>
      </c>
      <c r="J28" s="36">
        <v>15000</v>
      </c>
      <c r="K28" s="36">
        <v>5000</v>
      </c>
      <c r="L28" s="36">
        <v>80000</v>
      </c>
      <c r="M28" s="36">
        <v>6000</v>
      </c>
      <c r="N28" s="36">
        <v>20250</v>
      </c>
      <c r="O28" s="36">
        <v>0</v>
      </c>
      <c r="P28" s="36">
        <v>46425.94</v>
      </c>
      <c r="Q28" s="45">
        <f t="shared" si="0"/>
        <v>382775.94</v>
      </c>
      <c r="R28" s="36"/>
      <c r="S28" s="39">
        <f t="shared" si="1"/>
        <v>72.153805843543836</v>
      </c>
      <c r="T28" s="40">
        <f t="shared" si="2"/>
        <v>15.754005655042414</v>
      </c>
      <c r="U28" s="40">
        <f t="shared" si="3"/>
        <v>336350</v>
      </c>
      <c r="V28" s="41">
        <f t="shared" si="4"/>
        <v>63.402450518378892</v>
      </c>
    </row>
    <row r="29" spans="1:22" ht="14.45" x14ac:dyDescent="0.3">
      <c r="A29" s="9" t="s">
        <v>45</v>
      </c>
      <c r="B29" s="1">
        <v>41506</v>
      </c>
      <c r="C29" s="36">
        <v>14025000</v>
      </c>
      <c r="D29" s="15" t="s">
        <v>22</v>
      </c>
      <c r="E29" s="36">
        <v>227906.25</v>
      </c>
      <c r="F29" s="36">
        <v>12500</v>
      </c>
      <c r="G29" s="19" t="s">
        <v>66</v>
      </c>
      <c r="H29" s="36">
        <v>70125</v>
      </c>
      <c r="I29" s="36">
        <v>76475</v>
      </c>
      <c r="J29" s="36">
        <v>22123</v>
      </c>
      <c r="K29" s="36">
        <v>5000</v>
      </c>
      <c r="L29" s="36">
        <v>20000</v>
      </c>
      <c r="M29" s="36">
        <v>3300</v>
      </c>
      <c r="N29" s="36">
        <v>28500</v>
      </c>
      <c r="O29" s="36">
        <v>0</v>
      </c>
      <c r="P29" s="36">
        <v>59656.07</v>
      </c>
      <c r="Q29" s="45">
        <f t="shared" si="0"/>
        <v>525585.31999999995</v>
      </c>
      <c r="R29" s="36"/>
      <c r="S29" s="39">
        <f t="shared" si="1"/>
        <v>37.474889126559709</v>
      </c>
      <c r="T29" s="40">
        <f t="shared" si="2"/>
        <v>16.25</v>
      </c>
      <c r="U29" s="40">
        <f t="shared" si="3"/>
        <v>465929.24999999994</v>
      </c>
      <c r="V29" s="41">
        <f t="shared" si="4"/>
        <v>33.22133689839572</v>
      </c>
    </row>
    <row r="30" spans="1:22" ht="14.45" x14ac:dyDescent="0.3">
      <c r="A30" s="9" t="s">
        <v>33</v>
      </c>
      <c r="B30" s="1">
        <v>41584</v>
      </c>
      <c r="C30" s="36">
        <v>25185000</v>
      </c>
      <c r="D30" s="15" t="s">
        <v>32</v>
      </c>
      <c r="E30" s="36">
        <v>383865</v>
      </c>
      <c r="F30" s="36">
        <v>50000</v>
      </c>
      <c r="G30" s="19" t="s">
        <v>64</v>
      </c>
      <c r="H30" s="36">
        <v>150000</v>
      </c>
      <c r="I30" s="36">
        <v>50000</v>
      </c>
      <c r="J30" s="36">
        <v>25000</v>
      </c>
      <c r="K30" s="36">
        <v>5000</v>
      </c>
      <c r="L30" s="36">
        <v>49875</v>
      </c>
      <c r="M30" s="36">
        <v>3300</v>
      </c>
      <c r="N30" s="36">
        <v>42000</v>
      </c>
      <c r="O30" s="36">
        <v>0</v>
      </c>
      <c r="P30" s="36">
        <v>29301.43</v>
      </c>
      <c r="Q30" s="45">
        <f t="shared" si="0"/>
        <v>788341.43</v>
      </c>
      <c r="R30" s="36"/>
      <c r="S30" s="39">
        <f t="shared" si="1"/>
        <v>31.302022235457617</v>
      </c>
      <c r="T30" s="40">
        <f t="shared" si="2"/>
        <v>15.241810601548542</v>
      </c>
      <c r="U30" s="40">
        <f t="shared" si="3"/>
        <v>759040</v>
      </c>
      <c r="V30" s="41">
        <f t="shared" si="4"/>
        <v>30.13857454834227</v>
      </c>
    </row>
    <row r="31" spans="1:22" ht="14.45" x14ac:dyDescent="0.3">
      <c r="A31" s="9" t="s">
        <v>28</v>
      </c>
      <c r="B31" s="1">
        <v>41597</v>
      </c>
      <c r="C31" s="36">
        <v>8285000</v>
      </c>
      <c r="D31" s="15" t="s">
        <v>27</v>
      </c>
      <c r="E31" s="36">
        <v>99420</v>
      </c>
      <c r="F31" s="36">
        <v>27500</v>
      </c>
      <c r="G31" s="19" t="s">
        <v>67</v>
      </c>
      <c r="H31" s="36">
        <v>41425</v>
      </c>
      <c r="I31" s="36">
        <v>85000</v>
      </c>
      <c r="J31" s="36">
        <v>16884</v>
      </c>
      <c r="K31" s="36">
        <v>5000</v>
      </c>
      <c r="L31" s="36">
        <v>29000</v>
      </c>
      <c r="M31" s="36">
        <v>6100</v>
      </c>
      <c r="N31" s="36"/>
      <c r="O31" s="36">
        <v>0</v>
      </c>
      <c r="P31" s="36">
        <v>30325.52</v>
      </c>
      <c r="Q31" s="45">
        <f t="shared" si="0"/>
        <v>340654.52</v>
      </c>
      <c r="R31" s="36"/>
      <c r="S31" s="39">
        <f t="shared" si="1"/>
        <v>41.117021122510558</v>
      </c>
      <c r="T31" s="40">
        <f t="shared" si="2"/>
        <v>12</v>
      </c>
      <c r="U31" s="40">
        <f t="shared" si="3"/>
        <v>310329</v>
      </c>
      <c r="V31" s="41">
        <f t="shared" si="4"/>
        <v>37.456729028364514</v>
      </c>
    </row>
    <row r="32" spans="1:22" ht="14.45" x14ac:dyDescent="0.3">
      <c r="A32" s="9" t="s">
        <v>37</v>
      </c>
      <c r="B32" s="1">
        <v>41690</v>
      </c>
      <c r="C32" s="36">
        <v>10670000</v>
      </c>
      <c r="D32" s="15" t="s">
        <v>38</v>
      </c>
      <c r="E32" s="36">
        <v>57618</v>
      </c>
      <c r="F32" s="36">
        <v>10300</v>
      </c>
      <c r="G32" s="19" t="s">
        <v>65</v>
      </c>
      <c r="H32" s="36">
        <v>69025</v>
      </c>
      <c r="I32" s="36">
        <v>52000</v>
      </c>
      <c r="J32" s="36">
        <v>19103</v>
      </c>
      <c r="K32" s="36">
        <v>5000</v>
      </c>
      <c r="L32" s="36">
        <v>57350</v>
      </c>
      <c r="M32" s="36">
        <v>2800</v>
      </c>
      <c r="N32" s="36">
        <v>23500</v>
      </c>
      <c r="O32" s="36">
        <v>0</v>
      </c>
      <c r="P32" s="36">
        <f>31206+1975+3300+1840+1500+3500</f>
        <v>43321</v>
      </c>
      <c r="Q32" s="45">
        <f t="shared" si="0"/>
        <v>340017</v>
      </c>
      <c r="R32" s="36"/>
      <c r="S32" s="39">
        <f t="shared" si="1"/>
        <v>31.866635426429244</v>
      </c>
      <c r="T32" s="40">
        <f t="shared" si="2"/>
        <v>5.4</v>
      </c>
      <c r="U32" s="40">
        <f t="shared" si="3"/>
        <v>296696</v>
      </c>
      <c r="V32" s="41">
        <f t="shared" si="4"/>
        <v>27.806560449859418</v>
      </c>
    </row>
    <row r="33" spans="1:23" ht="14.45" x14ac:dyDescent="0.3">
      <c r="A33" s="9" t="s">
        <v>35</v>
      </c>
      <c r="B33" s="1">
        <v>41695</v>
      </c>
      <c r="C33" s="36">
        <v>15600000</v>
      </c>
      <c r="D33" s="15" t="s">
        <v>27</v>
      </c>
      <c r="E33" s="36">
        <v>90480</v>
      </c>
      <c r="F33" s="36">
        <v>0</v>
      </c>
      <c r="G33" s="19" t="s">
        <v>65</v>
      </c>
      <c r="H33" s="36">
        <v>64400</v>
      </c>
      <c r="I33" s="36">
        <v>45000</v>
      </c>
      <c r="J33" s="36">
        <v>23540</v>
      </c>
      <c r="K33" s="36">
        <v>5000</v>
      </c>
      <c r="L33" s="36">
        <v>25000</v>
      </c>
      <c r="M33" s="36">
        <v>1500</v>
      </c>
      <c r="N33" s="36">
        <v>33000</v>
      </c>
      <c r="O33" s="36">
        <v>0</v>
      </c>
      <c r="P33" s="36">
        <f>7250+12500</f>
        <v>19750</v>
      </c>
      <c r="Q33" s="45">
        <f t="shared" si="0"/>
        <v>307670</v>
      </c>
      <c r="R33" s="36"/>
      <c r="S33" s="39">
        <f t="shared" si="1"/>
        <v>19.722435897435897</v>
      </c>
      <c r="T33" s="40">
        <f t="shared" si="2"/>
        <v>5.8</v>
      </c>
      <c r="U33" s="40">
        <f t="shared" si="3"/>
        <v>287920</v>
      </c>
      <c r="V33" s="41">
        <f t="shared" si="4"/>
        <v>18.456410256410258</v>
      </c>
    </row>
    <row r="34" spans="1:23" ht="14.45" x14ac:dyDescent="0.3">
      <c r="A34" s="9" t="s">
        <v>20</v>
      </c>
      <c r="B34" s="1">
        <v>41829</v>
      </c>
      <c r="C34" s="36">
        <v>17685000</v>
      </c>
      <c r="D34" s="15" t="s">
        <v>22</v>
      </c>
      <c r="E34" s="36">
        <v>265275</v>
      </c>
      <c r="F34" s="36">
        <v>50000</v>
      </c>
      <c r="G34" s="19" t="s">
        <v>63</v>
      </c>
      <c r="H34" s="36">
        <v>88425</v>
      </c>
      <c r="I34" s="36">
        <v>55000</v>
      </c>
      <c r="J34" s="36">
        <v>23236</v>
      </c>
      <c r="K34" s="36">
        <v>5000</v>
      </c>
      <c r="L34" s="36">
        <v>40000</v>
      </c>
      <c r="M34" s="36">
        <v>7000</v>
      </c>
      <c r="N34" s="36">
        <v>36300</v>
      </c>
      <c r="O34" s="36">
        <v>0</v>
      </c>
      <c r="P34" s="36">
        <v>60203.54</v>
      </c>
      <c r="Q34" s="45">
        <f t="shared" si="0"/>
        <v>630439.54</v>
      </c>
      <c r="R34" s="36"/>
      <c r="S34" s="39">
        <f t="shared" si="1"/>
        <v>35.648263500141368</v>
      </c>
      <c r="T34" s="40">
        <f t="shared" si="2"/>
        <v>15</v>
      </c>
      <c r="U34" s="40">
        <f t="shared" si="3"/>
        <v>570236</v>
      </c>
      <c r="V34" s="41">
        <f t="shared" si="4"/>
        <v>32.244048628781457</v>
      </c>
      <c r="W34" s="33" t="s">
        <v>76</v>
      </c>
    </row>
    <row r="35" spans="1:23" ht="14.45" x14ac:dyDescent="0.3">
      <c r="A35" s="9" t="s">
        <v>46</v>
      </c>
      <c r="B35" s="1">
        <v>41911</v>
      </c>
      <c r="C35" s="36">
        <v>16900000</v>
      </c>
      <c r="D35" s="15" t="s">
        <v>49</v>
      </c>
      <c r="E35" s="36">
        <v>76050</v>
      </c>
      <c r="F35" s="36">
        <v>0</v>
      </c>
      <c r="G35" s="19" t="s">
        <v>65</v>
      </c>
      <c r="H35" s="36">
        <v>87097</v>
      </c>
      <c r="I35" s="36">
        <v>39800</v>
      </c>
      <c r="J35" s="36">
        <v>24710</v>
      </c>
      <c r="K35" s="36">
        <v>5000</v>
      </c>
      <c r="L35" s="36">
        <v>41000</v>
      </c>
      <c r="M35" s="36">
        <v>3600</v>
      </c>
      <c r="N35" s="36">
        <v>33300</v>
      </c>
      <c r="O35" s="36">
        <v>0</v>
      </c>
      <c r="P35" s="36">
        <v>8721</v>
      </c>
      <c r="Q35" s="45">
        <f t="shared" si="0"/>
        <v>319278</v>
      </c>
      <c r="R35" s="36"/>
      <c r="S35" s="39">
        <f t="shared" si="1"/>
        <v>18.892189349112428</v>
      </c>
      <c r="T35" s="40">
        <f t="shared" si="2"/>
        <v>4.5</v>
      </c>
      <c r="U35" s="40">
        <f t="shared" si="3"/>
        <v>310557</v>
      </c>
      <c r="V35" s="41">
        <f t="shared" si="4"/>
        <v>18.376153846153848</v>
      </c>
    </row>
    <row r="36" spans="1:23" ht="14.45" x14ac:dyDescent="0.3">
      <c r="A36" s="9" t="s">
        <v>55</v>
      </c>
      <c r="B36" s="1">
        <v>41949</v>
      </c>
      <c r="C36" s="36">
        <v>6435000</v>
      </c>
      <c r="D36" s="15" t="s">
        <v>43</v>
      </c>
      <c r="E36" s="36">
        <v>19305</v>
      </c>
      <c r="F36" s="36">
        <v>0</v>
      </c>
      <c r="G36" s="19" t="s">
        <v>63</v>
      </c>
      <c r="H36" s="36">
        <v>25175</v>
      </c>
      <c r="I36" s="36">
        <v>36800</v>
      </c>
      <c r="J36" s="36">
        <v>15291</v>
      </c>
      <c r="K36" s="36">
        <v>5000</v>
      </c>
      <c r="L36" s="36">
        <v>35000</v>
      </c>
      <c r="M36" s="36">
        <v>3400</v>
      </c>
      <c r="N36" s="36">
        <v>30000</v>
      </c>
      <c r="O36" s="36">
        <v>0</v>
      </c>
      <c r="P36" s="36">
        <v>1751</v>
      </c>
      <c r="Q36" s="45">
        <f t="shared" si="0"/>
        <v>171722</v>
      </c>
      <c r="R36" s="36"/>
      <c r="S36" s="39">
        <f t="shared" si="1"/>
        <v>26.685625485625486</v>
      </c>
      <c r="T36" s="40">
        <f t="shared" si="2"/>
        <v>3</v>
      </c>
      <c r="U36" s="40">
        <f t="shared" si="3"/>
        <v>169971</v>
      </c>
      <c r="V36" s="41">
        <f t="shared" si="4"/>
        <v>26.413519813519812</v>
      </c>
    </row>
    <row r="37" spans="1:23" ht="14.45" x14ac:dyDescent="0.3">
      <c r="A37" s="9" t="s">
        <v>42</v>
      </c>
      <c r="B37" s="1">
        <v>41963</v>
      </c>
      <c r="C37" s="36">
        <v>5935000</v>
      </c>
      <c r="D37" s="15" t="s">
        <v>43</v>
      </c>
      <c r="E37" s="36">
        <v>17805</v>
      </c>
      <c r="F37" s="36">
        <v>0</v>
      </c>
      <c r="G37" s="19" t="s">
        <v>63</v>
      </c>
      <c r="H37" s="36">
        <v>22675</v>
      </c>
      <c r="I37" s="36">
        <v>38400</v>
      </c>
      <c r="J37" s="36">
        <v>18000</v>
      </c>
      <c r="K37" s="36">
        <v>5000</v>
      </c>
      <c r="L37" s="36">
        <v>22500</v>
      </c>
      <c r="M37" s="36">
        <v>3400</v>
      </c>
      <c r="N37" s="36">
        <v>0</v>
      </c>
      <c r="O37" s="36">
        <v>0</v>
      </c>
      <c r="P37" s="36">
        <v>22042</v>
      </c>
      <c r="Q37" s="45">
        <f t="shared" si="0"/>
        <v>149822</v>
      </c>
      <c r="R37" s="36"/>
      <c r="S37" s="39">
        <f t="shared" si="1"/>
        <v>25.243807919123842</v>
      </c>
      <c r="T37" s="40">
        <f t="shared" si="2"/>
        <v>3</v>
      </c>
      <c r="U37" s="40">
        <f t="shared" si="3"/>
        <v>127780</v>
      </c>
      <c r="V37" s="41">
        <f t="shared" si="4"/>
        <v>21.529907329401855</v>
      </c>
    </row>
    <row r="38" spans="1:23" ht="14.45" x14ac:dyDescent="0.3">
      <c r="A38" s="9" t="s">
        <v>40</v>
      </c>
      <c r="B38" s="1">
        <v>41988</v>
      </c>
      <c r="C38" s="36">
        <v>6170000</v>
      </c>
      <c r="D38" s="15" t="s">
        <v>32</v>
      </c>
      <c r="E38" s="36">
        <v>94092.35</v>
      </c>
      <c r="F38" s="36">
        <v>41697.199999999997</v>
      </c>
      <c r="G38" s="19" t="s">
        <v>63</v>
      </c>
      <c r="H38" s="36">
        <v>30600</v>
      </c>
      <c r="I38" s="36">
        <v>49500</v>
      </c>
      <c r="J38" s="36">
        <v>16000</v>
      </c>
      <c r="K38" s="36">
        <v>5000</v>
      </c>
      <c r="L38" s="36">
        <v>60000</v>
      </c>
      <c r="M38" s="36">
        <v>3400</v>
      </c>
      <c r="N38" s="36">
        <v>25000</v>
      </c>
      <c r="O38" s="36">
        <v>0</v>
      </c>
      <c r="P38" s="36">
        <v>20625</v>
      </c>
      <c r="Q38" s="45">
        <f t="shared" si="0"/>
        <v>345914.55</v>
      </c>
      <c r="R38" s="36"/>
      <c r="S38" s="39">
        <f t="shared" si="1"/>
        <v>56.063946515397085</v>
      </c>
      <c r="T38" s="40">
        <f t="shared" si="2"/>
        <v>15.249975688816857</v>
      </c>
      <c r="U38" s="40">
        <f t="shared" si="3"/>
        <v>325289.55</v>
      </c>
      <c r="V38" s="41">
        <f t="shared" si="4"/>
        <v>52.721158833063207</v>
      </c>
      <c r="W38" s="33" t="s">
        <v>76</v>
      </c>
    </row>
    <row r="39" spans="1:23" ht="14.45" x14ac:dyDescent="0.3">
      <c r="A39" s="9" t="s">
        <v>51</v>
      </c>
      <c r="B39" s="1">
        <v>42187</v>
      </c>
      <c r="C39" s="36">
        <v>13455000</v>
      </c>
      <c r="D39" s="15" t="s">
        <v>52</v>
      </c>
      <c r="E39" s="36">
        <v>57749</v>
      </c>
      <c r="F39" s="36">
        <v>0</v>
      </c>
      <c r="G39" s="19" t="s">
        <v>65</v>
      </c>
      <c r="H39" s="36">
        <v>54089</v>
      </c>
      <c r="I39" s="36">
        <v>38000</v>
      </c>
      <c r="J39" s="36">
        <v>21610</v>
      </c>
      <c r="K39" s="36">
        <v>5000</v>
      </c>
      <c r="L39" s="36">
        <v>24500</v>
      </c>
      <c r="M39" s="36">
        <v>3200</v>
      </c>
      <c r="N39" s="36">
        <v>33000</v>
      </c>
      <c r="O39" s="36">
        <v>0</v>
      </c>
      <c r="P39" s="36">
        <v>20500</v>
      </c>
      <c r="Q39" s="45">
        <f t="shared" si="0"/>
        <v>257648</v>
      </c>
      <c r="R39" s="36"/>
      <c r="S39" s="39">
        <f t="shared" si="1"/>
        <v>19.148866592344856</v>
      </c>
      <c r="T39" s="40">
        <f t="shared" si="2"/>
        <v>4.2920104050538832</v>
      </c>
      <c r="U39" s="40">
        <f t="shared" si="3"/>
        <v>237148</v>
      </c>
      <c r="V39" s="41">
        <f t="shared" si="4"/>
        <v>17.625269416573765</v>
      </c>
      <c r="W39" s="34"/>
    </row>
    <row r="40" spans="1:23" ht="14.45" x14ac:dyDescent="0.3">
      <c r="A40" s="9" t="s">
        <v>24</v>
      </c>
      <c r="B40" s="1">
        <v>42193</v>
      </c>
      <c r="C40" s="36">
        <v>29590000</v>
      </c>
      <c r="D40" s="15" t="s">
        <v>22</v>
      </c>
      <c r="E40" s="36">
        <v>360895.51</v>
      </c>
      <c r="F40" s="36">
        <v>95000</v>
      </c>
      <c r="G40" s="19" t="s">
        <v>68</v>
      </c>
      <c r="H40" s="36">
        <v>197500</v>
      </c>
      <c r="I40" s="36">
        <v>135000</v>
      </c>
      <c r="J40" s="36">
        <v>36131</v>
      </c>
      <c r="K40" s="36">
        <v>5000</v>
      </c>
      <c r="L40" s="36">
        <v>115000</v>
      </c>
      <c r="M40" s="36">
        <v>6000</v>
      </c>
      <c r="N40" s="36">
        <v>38200</v>
      </c>
      <c r="O40" s="36">
        <v>41200</v>
      </c>
      <c r="P40" s="36">
        <v>96271.73</v>
      </c>
      <c r="Q40" s="45">
        <f t="shared" si="0"/>
        <v>1126198.24</v>
      </c>
      <c r="R40" s="36"/>
      <c r="S40" s="39">
        <f t="shared" si="1"/>
        <v>38.060095978371073</v>
      </c>
      <c r="T40" s="40">
        <f t="shared" si="2"/>
        <v>12.196536329841162</v>
      </c>
      <c r="U40" s="40">
        <f t="shared" si="3"/>
        <v>1029926.51</v>
      </c>
      <c r="V40" s="41">
        <f>SUM(U40/C40)*1000</f>
        <v>34.806573504562351</v>
      </c>
      <c r="W40" s="33" t="s">
        <v>76</v>
      </c>
    </row>
    <row r="41" spans="1:23" ht="14.45" x14ac:dyDescent="0.3">
      <c r="A41" s="9" t="s">
        <v>44</v>
      </c>
      <c r="B41" s="1">
        <v>42234</v>
      </c>
      <c r="C41" s="36">
        <v>14520000</v>
      </c>
      <c r="D41" s="15" t="s">
        <v>32</v>
      </c>
      <c r="E41" s="36">
        <v>72600</v>
      </c>
      <c r="F41" s="36">
        <v>8000</v>
      </c>
      <c r="G41" s="19" t="s">
        <v>63</v>
      </c>
      <c r="H41" s="36">
        <v>47190</v>
      </c>
      <c r="I41" s="36">
        <v>38000</v>
      </c>
      <c r="J41" s="36">
        <v>22568</v>
      </c>
      <c r="K41" s="36">
        <v>5000</v>
      </c>
      <c r="L41" s="36">
        <v>9000</v>
      </c>
      <c r="M41" s="36">
        <v>3500</v>
      </c>
      <c r="N41" s="36">
        <v>35750</v>
      </c>
      <c r="O41" s="36">
        <v>0</v>
      </c>
      <c r="P41" s="36">
        <v>39294</v>
      </c>
      <c r="Q41" s="45">
        <f t="shared" si="0"/>
        <v>280902</v>
      </c>
      <c r="R41" s="36"/>
      <c r="S41" s="39">
        <f t="shared" si="1"/>
        <v>19.345867768595042</v>
      </c>
      <c r="T41" s="40">
        <f t="shared" si="2"/>
        <v>5</v>
      </c>
      <c r="U41" s="40">
        <f t="shared" si="3"/>
        <v>241608</v>
      </c>
      <c r="V41" s="41">
        <f t="shared" si="4"/>
        <v>16.639669421487604</v>
      </c>
      <c r="W41" s="34"/>
    </row>
    <row r="42" spans="1:23" ht="14.45" x14ac:dyDescent="0.3">
      <c r="A42" s="31" t="s">
        <v>31</v>
      </c>
      <c r="B42" s="32">
        <v>42262</v>
      </c>
      <c r="C42" s="36">
        <v>16675000</v>
      </c>
      <c r="D42" s="15" t="s">
        <v>27</v>
      </c>
      <c r="E42" s="36">
        <v>79206.25</v>
      </c>
      <c r="F42" s="36">
        <v>0</v>
      </c>
      <c r="G42" s="19" t="s">
        <v>65</v>
      </c>
      <c r="H42" s="36">
        <v>70868</v>
      </c>
      <c r="I42" s="36">
        <v>35000</v>
      </c>
      <c r="J42" s="36">
        <v>21600</v>
      </c>
      <c r="K42" s="36">
        <v>5000</v>
      </c>
      <c r="L42" s="36">
        <v>24500</v>
      </c>
      <c r="M42" s="36">
        <v>5500</v>
      </c>
      <c r="N42" s="36">
        <v>34800</v>
      </c>
      <c r="O42" s="36">
        <v>0</v>
      </c>
      <c r="P42" s="36">
        <v>20597</v>
      </c>
      <c r="Q42" s="45">
        <f t="shared" si="0"/>
        <v>297071.25</v>
      </c>
      <c r="R42" s="36"/>
      <c r="S42" s="39">
        <f t="shared" si="1"/>
        <v>17.815367316341831</v>
      </c>
      <c r="T42" s="40">
        <f t="shared" si="2"/>
        <v>4.75</v>
      </c>
      <c r="U42" s="40"/>
      <c r="V42" s="41">
        <f t="shared" ref="V42:V47" si="5">(Q42-P42)/C42*1000</f>
        <v>16.580164917541229</v>
      </c>
    </row>
    <row r="43" spans="1:23" ht="14.45" x14ac:dyDescent="0.3">
      <c r="A43" s="31" t="s">
        <v>71</v>
      </c>
      <c r="B43" s="1">
        <v>42299</v>
      </c>
      <c r="C43" s="37">
        <v>18650000</v>
      </c>
      <c r="D43" s="15" t="s">
        <v>27</v>
      </c>
      <c r="E43" s="37">
        <v>153325</v>
      </c>
      <c r="F43" s="36">
        <v>10000</v>
      </c>
      <c r="G43" s="19" t="s">
        <v>65</v>
      </c>
      <c r="H43" s="36">
        <v>64204</v>
      </c>
      <c r="I43" s="36">
        <v>55000</v>
      </c>
      <c r="J43" s="36">
        <v>26285</v>
      </c>
      <c r="K43" s="36">
        <v>7500</v>
      </c>
      <c r="L43" s="36">
        <v>45000</v>
      </c>
      <c r="M43" s="36">
        <v>3500</v>
      </c>
      <c r="N43" s="36">
        <v>36300</v>
      </c>
      <c r="O43" s="36">
        <v>0</v>
      </c>
      <c r="P43" s="36">
        <v>16965</v>
      </c>
      <c r="Q43" s="45">
        <f t="shared" si="0"/>
        <v>418079</v>
      </c>
      <c r="R43" s="36"/>
      <c r="S43" s="39">
        <f t="shared" si="1"/>
        <v>22.417104557640751</v>
      </c>
      <c r="T43" s="40">
        <f t="shared" si="2"/>
        <v>8.2211796246648792</v>
      </c>
      <c r="U43" s="42"/>
      <c r="V43" s="41">
        <f t="shared" si="5"/>
        <v>21.507453083109922</v>
      </c>
    </row>
    <row r="44" spans="1:23" ht="14.45" x14ac:dyDescent="0.3">
      <c r="A44" s="31" t="s">
        <v>72</v>
      </c>
      <c r="B44" s="1">
        <v>42355</v>
      </c>
      <c r="C44" s="37">
        <v>26205000</v>
      </c>
      <c r="D44" s="15" t="s">
        <v>27</v>
      </c>
      <c r="E44" s="37">
        <v>104820</v>
      </c>
      <c r="F44" s="36">
        <v>0</v>
      </c>
      <c r="G44" s="19" t="s">
        <v>63</v>
      </c>
      <c r="H44" s="36">
        <v>95101</v>
      </c>
      <c r="I44" s="36">
        <v>65000</v>
      </c>
      <c r="J44" s="36">
        <v>28500</v>
      </c>
      <c r="K44" s="36">
        <v>12500</v>
      </c>
      <c r="L44" s="36">
        <v>19900</v>
      </c>
      <c r="M44" s="36">
        <v>2000</v>
      </c>
      <c r="N44" s="36">
        <v>54650</v>
      </c>
      <c r="O44" s="36">
        <v>0</v>
      </c>
      <c r="P44" s="36">
        <v>63195</v>
      </c>
      <c r="Q44" s="45">
        <f t="shared" si="0"/>
        <v>445666</v>
      </c>
      <c r="R44" s="36"/>
      <c r="S44" s="39">
        <f t="shared" si="1"/>
        <v>17.006907078801756</v>
      </c>
      <c r="T44" s="40">
        <f t="shared" si="2"/>
        <v>4</v>
      </c>
      <c r="U44" s="42"/>
      <c r="V44" s="41">
        <f t="shared" si="5"/>
        <v>14.595344399923679</v>
      </c>
    </row>
    <row r="45" spans="1:23" ht="14.45" x14ac:dyDescent="0.3">
      <c r="A45" s="31" t="s">
        <v>73</v>
      </c>
      <c r="B45" s="1">
        <v>42424</v>
      </c>
      <c r="C45" s="37">
        <v>12450000</v>
      </c>
      <c r="D45" s="15" t="s">
        <v>22</v>
      </c>
      <c r="E45" s="37">
        <v>124500</v>
      </c>
      <c r="F45" s="36">
        <v>27000</v>
      </c>
      <c r="G45" s="19" t="s">
        <v>65</v>
      </c>
      <c r="H45" s="36">
        <v>34500</v>
      </c>
      <c r="I45" s="36">
        <v>58000</v>
      </c>
      <c r="J45" s="36">
        <v>21205</v>
      </c>
      <c r="K45" s="36">
        <v>12500</v>
      </c>
      <c r="L45" s="36">
        <v>45000</v>
      </c>
      <c r="M45" s="36">
        <v>5750</v>
      </c>
      <c r="N45" s="36">
        <v>30750</v>
      </c>
      <c r="O45" s="36">
        <v>0</v>
      </c>
      <c r="P45" s="36">
        <v>39152</v>
      </c>
      <c r="Q45" s="45">
        <f t="shared" si="0"/>
        <v>398357</v>
      </c>
      <c r="R45" s="36"/>
      <c r="S45" s="39">
        <f t="shared" si="1"/>
        <v>31.996546184738953</v>
      </c>
      <c r="T45" s="40">
        <f t="shared" si="2"/>
        <v>10</v>
      </c>
      <c r="U45" s="42"/>
      <c r="V45" s="41">
        <f t="shared" si="5"/>
        <v>28.851807228915664</v>
      </c>
      <c r="W45" s="33" t="s">
        <v>76</v>
      </c>
    </row>
    <row r="46" spans="1:23" ht="14.45" x14ac:dyDescent="0.3">
      <c r="A46" s="31" t="s">
        <v>77</v>
      </c>
      <c r="B46" s="1">
        <v>42626</v>
      </c>
      <c r="C46" s="37">
        <v>12400000</v>
      </c>
      <c r="D46" s="15" t="s">
        <v>78</v>
      </c>
      <c r="E46" s="37">
        <v>148800</v>
      </c>
      <c r="F46" s="36">
        <v>15000</v>
      </c>
      <c r="G46" s="19" t="s">
        <v>65</v>
      </c>
      <c r="H46" s="36">
        <v>24500</v>
      </c>
      <c r="I46" s="36">
        <v>75000</v>
      </c>
      <c r="J46" s="36">
        <v>20660</v>
      </c>
      <c r="K46" s="36">
        <v>7500</v>
      </c>
      <c r="L46" s="36">
        <v>50000</v>
      </c>
      <c r="M46" s="36">
        <v>4000</v>
      </c>
      <c r="N46" s="36">
        <v>33000</v>
      </c>
      <c r="O46" s="36">
        <v>0</v>
      </c>
      <c r="P46" s="36">
        <f>2500+1000+2250+1000+10000</f>
        <v>16750</v>
      </c>
      <c r="Q46" s="45">
        <f t="shared" si="0"/>
        <v>395210</v>
      </c>
      <c r="R46" s="36"/>
      <c r="S46" s="39">
        <f>SUM(Q46/C46)*1000</f>
        <v>31.871774193548383</v>
      </c>
      <c r="T46" s="40">
        <f>SUM(E46/C46)*1000</f>
        <v>12</v>
      </c>
      <c r="U46" s="42"/>
      <c r="V46" s="41">
        <f t="shared" si="5"/>
        <v>30.520967741935486</v>
      </c>
      <c r="W46" s="33" t="s">
        <v>76</v>
      </c>
    </row>
    <row r="47" spans="1:23" ht="14.45" x14ac:dyDescent="0.3">
      <c r="A47" s="31" t="s">
        <v>20</v>
      </c>
      <c r="B47" s="1">
        <v>42661</v>
      </c>
      <c r="C47" s="37">
        <v>11730000</v>
      </c>
      <c r="D47" s="15" t="s">
        <v>79</v>
      </c>
      <c r="E47" s="37">
        <v>46920</v>
      </c>
      <c r="F47" s="36">
        <v>0</v>
      </c>
      <c r="G47" s="19" t="s">
        <v>65</v>
      </c>
      <c r="H47" s="36">
        <v>36711.46</v>
      </c>
      <c r="I47" s="36">
        <v>44900</v>
      </c>
      <c r="J47" s="36">
        <v>20057</v>
      </c>
      <c r="K47" s="36">
        <v>12500</v>
      </c>
      <c r="L47" s="36">
        <v>9000</v>
      </c>
      <c r="M47" s="36">
        <v>4000</v>
      </c>
      <c r="N47" s="36">
        <v>32500</v>
      </c>
      <c r="O47" s="36">
        <v>0</v>
      </c>
      <c r="P47" s="36">
        <v>28000</v>
      </c>
      <c r="Q47" s="45">
        <f t="shared" ref="Q47:Q58" si="6">SUM(E47:P47)</f>
        <v>234588.46</v>
      </c>
      <c r="R47" s="36"/>
      <c r="S47" s="39">
        <f>SUM(Q47/C47)*1000</f>
        <v>19.999016197783462</v>
      </c>
      <c r="T47" s="40">
        <f>SUM(E47/C47)*1000</f>
        <v>4</v>
      </c>
      <c r="U47" s="42"/>
      <c r="V47" s="41">
        <f t="shared" si="5"/>
        <v>17.611974424552429</v>
      </c>
    </row>
    <row r="48" spans="1:23" x14ac:dyDescent="0.25">
      <c r="A48" s="35" t="s">
        <v>87</v>
      </c>
      <c r="B48" s="1">
        <v>42780</v>
      </c>
      <c r="C48" s="37">
        <v>29270000</v>
      </c>
      <c r="D48" s="15" t="s">
        <v>88</v>
      </c>
      <c r="E48" s="37">
        <v>114153</v>
      </c>
      <c r="F48" s="36">
        <v>0</v>
      </c>
      <c r="G48" s="19" t="s">
        <v>65</v>
      </c>
      <c r="H48" s="36">
        <v>59162.53</v>
      </c>
      <c r="I48" s="36">
        <v>50000</v>
      </c>
      <c r="J48" s="36">
        <v>35843</v>
      </c>
      <c r="K48" s="36">
        <v>12500</v>
      </c>
      <c r="L48" s="36">
        <v>25000</v>
      </c>
      <c r="M48" s="36">
        <v>3400</v>
      </c>
      <c r="N48" s="36">
        <v>52000</v>
      </c>
      <c r="O48" s="36">
        <v>0</v>
      </c>
      <c r="P48" s="36">
        <f>500+9818</f>
        <v>10318</v>
      </c>
      <c r="Q48" s="45">
        <f t="shared" si="6"/>
        <v>362376.53</v>
      </c>
      <c r="R48" s="36"/>
      <c r="S48" s="39">
        <f t="shared" ref="S48:S57" si="7">SUM(Q48/C48)*1000</f>
        <v>12.380475913905023</v>
      </c>
      <c r="T48" s="40">
        <f t="shared" ref="T48:T57" si="8">SUM(E48/C48)*1000</f>
        <v>3.9</v>
      </c>
      <c r="U48" s="42"/>
      <c r="V48" s="41">
        <f t="shared" ref="V48:V57" si="9">(Q48-P48)/C48*1000</f>
        <v>12.027964810386063</v>
      </c>
    </row>
    <row r="49" spans="1:22" x14ac:dyDescent="0.25">
      <c r="A49" s="35" t="s">
        <v>80</v>
      </c>
      <c r="B49" s="1">
        <v>42809</v>
      </c>
      <c r="C49" s="36">
        <f>8650000+90000</f>
        <v>8740000</v>
      </c>
      <c r="D49" s="15" t="s">
        <v>78</v>
      </c>
      <c r="E49" s="37">
        <v>69920</v>
      </c>
      <c r="F49" s="36">
        <v>15000</v>
      </c>
      <c r="G49" s="19" t="s">
        <v>65</v>
      </c>
      <c r="H49" s="36">
        <v>35000</v>
      </c>
      <c r="I49" s="36">
        <v>42600</v>
      </c>
      <c r="J49" s="36">
        <v>17250</v>
      </c>
      <c r="K49" s="36">
        <v>7500</v>
      </c>
      <c r="L49" s="36">
        <v>9000</v>
      </c>
      <c r="M49" s="36">
        <v>4000</v>
      </c>
      <c r="N49" s="36">
        <v>29000</v>
      </c>
      <c r="O49" s="36">
        <v>0</v>
      </c>
      <c r="P49" s="36">
        <v>30000</v>
      </c>
      <c r="Q49" s="45">
        <f t="shared" si="6"/>
        <v>259270</v>
      </c>
      <c r="R49" s="36"/>
      <c r="S49" s="39">
        <f t="shared" si="7"/>
        <v>29.664759725400458</v>
      </c>
      <c r="T49" s="40">
        <f t="shared" si="8"/>
        <v>8</v>
      </c>
      <c r="U49" s="42"/>
      <c r="V49" s="41">
        <f t="shared" si="9"/>
        <v>26.232265446224257</v>
      </c>
    </row>
    <row r="50" spans="1:22" x14ac:dyDescent="0.25">
      <c r="A50" s="38" t="s">
        <v>30</v>
      </c>
      <c r="B50" s="1">
        <v>42816</v>
      </c>
      <c r="C50" s="36">
        <f>8780000+50000</f>
        <v>8830000</v>
      </c>
      <c r="D50" s="15" t="s">
        <v>79</v>
      </c>
      <c r="E50" s="37">
        <v>34437</v>
      </c>
      <c r="F50" s="36">
        <v>0</v>
      </c>
      <c r="G50" s="19" t="s">
        <v>65</v>
      </c>
      <c r="H50" s="36">
        <v>34780</v>
      </c>
      <c r="I50" s="36">
        <v>50000</v>
      </c>
      <c r="J50" s="36">
        <v>17447</v>
      </c>
      <c r="K50" s="36">
        <v>12500</v>
      </c>
      <c r="L50" s="36">
        <v>9000</v>
      </c>
      <c r="M50" s="36">
        <v>4500</v>
      </c>
      <c r="N50" s="36">
        <v>29000</v>
      </c>
      <c r="O50" s="36">
        <v>0</v>
      </c>
      <c r="P50" s="36">
        <f>500+10008+20000</f>
        <v>30508</v>
      </c>
      <c r="Q50" s="45">
        <f t="shared" si="6"/>
        <v>222172</v>
      </c>
      <c r="R50" s="36"/>
      <c r="S50" s="39">
        <f t="shared" si="7"/>
        <v>25.161041902604758</v>
      </c>
      <c r="T50" s="40">
        <f t="shared" si="8"/>
        <v>3.9</v>
      </c>
      <c r="U50" s="42"/>
      <c r="V50" s="41">
        <f t="shared" si="9"/>
        <v>21.706002265005662</v>
      </c>
    </row>
    <row r="51" spans="1:22" x14ac:dyDescent="0.25">
      <c r="A51" s="38" t="s">
        <v>81</v>
      </c>
      <c r="B51" s="1">
        <v>42823</v>
      </c>
      <c r="C51" s="37">
        <v>8690000</v>
      </c>
      <c r="D51" s="15" t="s">
        <v>89</v>
      </c>
      <c r="E51" s="37">
        <f>21725+500</f>
        <v>22225</v>
      </c>
      <c r="F51" s="36">
        <v>0</v>
      </c>
      <c r="G51" s="19" t="s">
        <v>63</v>
      </c>
      <c r="H51" s="36">
        <f>43015.5+850</f>
        <v>43865.5</v>
      </c>
      <c r="I51" s="36">
        <v>31000</v>
      </c>
      <c r="J51" s="36">
        <v>17321</v>
      </c>
      <c r="K51" s="36">
        <v>7500</v>
      </c>
      <c r="L51" s="36">
        <v>0</v>
      </c>
      <c r="M51" s="36">
        <v>3500</v>
      </c>
      <c r="N51" s="36">
        <v>0</v>
      </c>
      <c r="O51" s="36">
        <v>0</v>
      </c>
      <c r="P51" s="36">
        <f>20000+4600+17560+2100+3000</f>
        <v>47260</v>
      </c>
      <c r="Q51" s="45">
        <f t="shared" si="6"/>
        <v>172671.5</v>
      </c>
      <c r="R51" s="36"/>
      <c r="S51" s="39">
        <f t="shared" si="7"/>
        <v>19.870138089758342</v>
      </c>
      <c r="T51" s="40">
        <f t="shared" si="8"/>
        <v>2.5575373993095512</v>
      </c>
      <c r="U51" s="42"/>
      <c r="V51" s="41">
        <f t="shared" si="9"/>
        <v>14.431703107019562</v>
      </c>
    </row>
    <row r="52" spans="1:22" x14ac:dyDescent="0.25">
      <c r="A52" s="38" t="s">
        <v>82</v>
      </c>
      <c r="B52" s="1">
        <v>42858</v>
      </c>
      <c r="C52" s="37">
        <v>8590000</v>
      </c>
      <c r="D52" s="15" t="s">
        <v>49</v>
      </c>
      <c r="E52" s="37">
        <v>92686.1</v>
      </c>
      <c r="F52" s="36">
        <v>17500</v>
      </c>
      <c r="G52" s="19" t="s">
        <v>63</v>
      </c>
      <c r="H52" s="36">
        <f>53687.5+2000</f>
        <v>55687.5</v>
      </c>
      <c r="I52" s="36">
        <f>51400+874</f>
        <v>52274</v>
      </c>
      <c r="J52" s="36">
        <v>17231</v>
      </c>
      <c r="K52" s="36">
        <v>7500</v>
      </c>
      <c r="L52" s="36">
        <f>20000</f>
        <v>20000</v>
      </c>
      <c r="M52" s="36">
        <v>3500</v>
      </c>
      <c r="N52" s="36">
        <v>0</v>
      </c>
      <c r="O52" s="36">
        <v>0</v>
      </c>
      <c r="P52" s="36">
        <f>2100+3000+4025+37640+20000+35000</f>
        <v>101765</v>
      </c>
      <c r="Q52" s="45">
        <f t="shared" si="6"/>
        <v>368143.6</v>
      </c>
      <c r="R52" s="36"/>
      <c r="S52" s="39">
        <f t="shared" si="7"/>
        <v>42.857229336437712</v>
      </c>
      <c r="T52" s="40">
        <f t="shared" si="8"/>
        <v>10.790000000000001</v>
      </c>
      <c r="U52" s="42"/>
      <c r="V52" s="41">
        <f t="shared" si="9"/>
        <v>31.010314318975553</v>
      </c>
    </row>
    <row r="53" spans="1:22" x14ac:dyDescent="0.25">
      <c r="A53" s="38" t="s">
        <v>83</v>
      </c>
      <c r="B53" s="1">
        <v>42872</v>
      </c>
      <c r="C53" s="37">
        <v>13265000</v>
      </c>
      <c r="D53" s="15" t="s">
        <v>78</v>
      </c>
      <c r="E53" s="37">
        <v>51733.5</v>
      </c>
      <c r="F53" s="36">
        <v>0</v>
      </c>
      <c r="G53" s="19" t="s">
        <v>65</v>
      </c>
      <c r="H53" s="36">
        <f>30837.45+4137.67</f>
        <v>34975.120000000003</v>
      </c>
      <c r="I53" s="36">
        <v>38146</v>
      </c>
      <c r="J53" s="36">
        <v>21439</v>
      </c>
      <c r="K53" s="36">
        <v>12500</v>
      </c>
      <c r="L53" s="36">
        <v>9000</v>
      </c>
      <c r="M53" s="36">
        <v>5400</v>
      </c>
      <c r="N53" s="36">
        <f>26500+12000</f>
        <v>38500</v>
      </c>
      <c r="O53" s="36">
        <v>0</v>
      </c>
      <c r="P53" s="36">
        <f>21952+5800+6000+4800+20000+2500+500</f>
        <v>61552</v>
      </c>
      <c r="Q53" s="45">
        <f t="shared" si="6"/>
        <v>273245.62</v>
      </c>
      <c r="R53" s="36"/>
      <c r="S53" s="39">
        <f t="shared" si="7"/>
        <v>20.598991330569167</v>
      </c>
      <c r="T53" s="40">
        <f t="shared" si="8"/>
        <v>3.9</v>
      </c>
      <c r="U53" s="42"/>
      <c r="V53" s="41">
        <f t="shared" si="9"/>
        <v>15.958810403316999</v>
      </c>
    </row>
    <row r="54" spans="1:22" x14ac:dyDescent="0.25">
      <c r="A54" s="38" t="s">
        <v>84</v>
      </c>
      <c r="B54" s="1">
        <v>42941</v>
      </c>
      <c r="C54" s="37">
        <v>13120000</v>
      </c>
      <c r="D54" s="15" t="s">
        <v>78</v>
      </c>
      <c r="E54" s="37">
        <f>51824+582</f>
        <v>52406</v>
      </c>
      <c r="F54" s="36">
        <v>0</v>
      </c>
      <c r="G54" s="19" t="s">
        <v>63</v>
      </c>
      <c r="H54" s="36">
        <f>33740+750</f>
        <v>34490</v>
      </c>
      <c r="I54" s="36">
        <f>37500+825</f>
        <v>38325</v>
      </c>
      <c r="J54" s="36">
        <v>21308</v>
      </c>
      <c r="K54" s="36">
        <v>12500</v>
      </c>
      <c r="L54" s="36">
        <v>7500</v>
      </c>
      <c r="M54" s="36">
        <v>3500</v>
      </c>
      <c r="N54" s="36">
        <f>34500+5000</f>
        <v>39500</v>
      </c>
      <c r="O54" s="36">
        <v>0</v>
      </c>
      <c r="P54" s="36">
        <f>196800+2100+5000+20250+4000</f>
        <v>228150</v>
      </c>
      <c r="Q54" s="45">
        <f t="shared" si="6"/>
        <v>437679</v>
      </c>
      <c r="R54" s="36"/>
      <c r="S54" s="39">
        <f t="shared" si="7"/>
        <v>33.35967987804878</v>
      </c>
      <c r="T54" s="40">
        <f t="shared" si="8"/>
        <v>3.9943597560975608</v>
      </c>
      <c r="U54" s="42"/>
      <c r="V54" s="41">
        <f t="shared" si="9"/>
        <v>15.970198170731708</v>
      </c>
    </row>
    <row r="55" spans="1:22" x14ac:dyDescent="0.25">
      <c r="A55" s="38" t="s">
        <v>85</v>
      </c>
      <c r="B55" s="1">
        <v>42990</v>
      </c>
      <c r="C55" s="37">
        <v>54810000</v>
      </c>
      <c r="D55" s="15" t="s">
        <v>90</v>
      </c>
      <c r="E55" s="37">
        <v>548100</v>
      </c>
      <c r="F55" s="36">
        <v>0</v>
      </c>
      <c r="G55" s="19" t="s">
        <v>65</v>
      </c>
      <c r="H55" s="36">
        <f>73320+2570</f>
        <v>75890</v>
      </c>
      <c r="I55" s="36">
        <v>65000</v>
      </c>
      <c r="J55" s="36">
        <v>58829</v>
      </c>
      <c r="K55" s="36">
        <v>7500</v>
      </c>
      <c r="L55" s="36">
        <v>40000</v>
      </c>
      <c r="M55" s="36">
        <v>3650</v>
      </c>
      <c r="N55" s="36">
        <v>0</v>
      </c>
      <c r="O55" s="36">
        <v>0</v>
      </c>
      <c r="P55" s="36">
        <f>7500+3185+3425+2885+3000+300+500+24654.43</f>
        <v>45449.43</v>
      </c>
      <c r="Q55" s="45">
        <f t="shared" si="6"/>
        <v>844418.43</v>
      </c>
      <c r="R55" s="36"/>
      <c r="S55" s="39">
        <f t="shared" si="7"/>
        <v>15.406284072249591</v>
      </c>
      <c r="T55" s="40">
        <f t="shared" si="8"/>
        <v>10</v>
      </c>
      <c r="U55" s="42"/>
      <c r="V55" s="41">
        <f t="shared" si="9"/>
        <v>14.577066228790367</v>
      </c>
    </row>
    <row r="56" spans="1:22" x14ac:dyDescent="0.25">
      <c r="A56" s="38" t="s">
        <v>86</v>
      </c>
      <c r="B56" s="1">
        <v>43020</v>
      </c>
      <c r="C56" s="37">
        <v>13530000</v>
      </c>
      <c r="D56" s="15" t="s">
        <v>89</v>
      </c>
      <c r="E56" s="37">
        <f>202950+1750</f>
        <v>204700</v>
      </c>
      <c r="F56" s="36">
        <v>1000</v>
      </c>
      <c r="G56" s="19" t="s">
        <v>63</v>
      </c>
      <c r="H56" s="36">
        <f>101475+1250</f>
        <v>102725</v>
      </c>
      <c r="I56" s="36">
        <f>65000+750</f>
        <v>65750</v>
      </c>
      <c r="J56" s="36">
        <v>21677</v>
      </c>
      <c r="K56" s="36">
        <v>7500</v>
      </c>
      <c r="L56" s="36">
        <v>15000</v>
      </c>
      <c r="M56" s="36">
        <v>4250</v>
      </c>
      <c r="N56" s="36">
        <v>34500</v>
      </c>
      <c r="O56" s="36">
        <v>0</v>
      </c>
      <c r="P56" s="36">
        <f>20000+2100+3000+4100+20981+1750</f>
        <v>51931</v>
      </c>
      <c r="Q56" s="45">
        <f t="shared" si="6"/>
        <v>509033</v>
      </c>
      <c r="R56" s="36"/>
      <c r="S56" s="39">
        <f t="shared" si="7"/>
        <v>37.622542498152256</v>
      </c>
      <c r="T56" s="40">
        <f t="shared" si="8"/>
        <v>15.129342202512934</v>
      </c>
      <c r="U56" s="42"/>
      <c r="V56" s="41">
        <f t="shared" si="9"/>
        <v>33.78433111603843</v>
      </c>
    </row>
    <row r="57" spans="1:22" x14ac:dyDescent="0.25">
      <c r="A57" s="35" t="s">
        <v>40</v>
      </c>
      <c r="B57" s="1">
        <v>43097</v>
      </c>
      <c r="C57" s="37">
        <v>16200000</v>
      </c>
      <c r="D57" s="15" t="s">
        <v>79</v>
      </c>
      <c r="E57" s="37">
        <v>121500</v>
      </c>
      <c r="F57" s="36">
        <v>15000</v>
      </c>
      <c r="G57" s="19" t="s">
        <v>65</v>
      </c>
      <c r="H57" s="36">
        <v>31500</v>
      </c>
      <c r="I57" s="36">
        <v>43900</v>
      </c>
      <c r="J57" s="36">
        <v>24000</v>
      </c>
      <c r="K57" s="36">
        <v>7500</v>
      </c>
      <c r="L57" s="36">
        <v>9000</v>
      </c>
      <c r="M57" s="36">
        <v>3000</v>
      </c>
      <c r="N57" s="36">
        <v>32500</v>
      </c>
      <c r="O57" s="36">
        <v>0</v>
      </c>
      <c r="P57" s="36">
        <f>2500+1800+16500+3950</f>
        <v>24750</v>
      </c>
      <c r="Q57" s="45">
        <f t="shared" si="6"/>
        <v>312650</v>
      </c>
      <c r="R57" s="36"/>
      <c r="S57" s="39">
        <f t="shared" si="7"/>
        <v>19.299382716049383</v>
      </c>
      <c r="T57" s="40">
        <f t="shared" si="8"/>
        <v>7.5</v>
      </c>
      <c r="U57" s="42"/>
      <c r="V57" s="41">
        <f t="shared" si="9"/>
        <v>17.771604938271604</v>
      </c>
    </row>
    <row r="58" spans="1:22" x14ac:dyDescent="0.25">
      <c r="A58" s="35" t="s">
        <v>92</v>
      </c>
      <c r="B58" s="1">
        <v>43235</v>
      </c>
      <c r="C58" s="37">
        <v>11920000</v>
      </c>
      <c r="D58" s="15" t="s">
        <v>94</v>
      </c>
      <c r="E58" s="36">
        <v>178800</v>
      </c>
      <c r="F58" s="36">
        <f>20000+2261.23</f>
        <v>22261.23</v>
      </c>
      <c r="G58" s="19" t="s">
        <v>63</v>
      </c>
      <c r="H58" s="36">
        <v>27950</v>
      </c>
      <c r="I58" s="36">
        <v>38825</v>
      </c>
      <c r="J58" s="36">
        <v>20228</v>
      </c>
      <c r="K58" s="36">
        <v>7500</v>
      </c>
      <c r="L58" s="36">
        <v>9000</v>
      </c>
      <c r="M58" s="36">
        <v>3500</v>
      </c>
      <c r="N58" s="36">
        <v>0</v>
      </c>
      <c r="O58" s="36">
        <v>0</v>
      </c>
      <c r="P58" s="36">
        <v>53781</v>
      </c>
      <c r="Q58" s="45">
        <f t="shared" si="6"/>
        <v>361845.23</v>
      </c>
      <c r="S58" s="39">
        <f>SUM(Q58/C58)*1000</f>
        <v>30.35614345637584</v>
      </c>
      <c r="T58" s="40">
        <f>SUM(E58/C58)*1000</f>
        <v>15</v>
      </c>
      <c r="U58" s="42"/>
      <c r="V58" s="41">
        <f>(Q58-P58)/C58*1000</f>
        <v>25.844314597315435</v>
      </c>
    </row>
    <row r="59" spans="1:22" x14ac:dyDescent="0.25">
      <c r="A59" s="35" t="s">
        <v>93</v>
      </c>
      <c r="B59" s="1">
        <v>43249</v>
      </c>
      <c r="C59" s="37">
        <v>12860000</v>
      </c>
      <c r="D59" s="15" t="s">
        <v>94</v>
      </c>
      <c r="E59" s="36">
        <f>2490+225050</f>
        <v>227540</v>
      </c>
      <c r="F59" s="36">
        <v>20000</v>
      </c>
      <c r="G59" s="19" t="s">
        <v>63</v>
      </c>
      <c r="H59" s="36">
        <v>61085</v>
      </c>
      <c r="I59" s="36">
        <v>44825</v>
      </c>
      <c r="J59" s="36">
        <v>22074</v>
      </c>
      <c r="K59" s="36">
        <v>7500</v>
      </c>
      <c r="L59" s="36">
        <v>8900</v>
      </c>
      <c r="M59" s="36">
        <v>3500</v>
      </c>
      <c r="N59" s="36">
        <v>0</v>
      </c>
      <c r="O59" s="36">
        <v>0</v>
      </c>
      <c r="P59" s="36">
        <v>67291</v>
      </c>
      <c r="Q59" s="45">
        <f>SUM(E59:P59)</f>
        <v>462715</v>
      </c>
      <c r="S59" s="39">
        <f>SUM(Q59/C59)*1000</f>
        <v>35.980948678071542</v>
      </c>
      <c r="T59" s="40">
        <f>SUM(E59/C59)*1000</f>
        <v>17.693623639191291</v>
      </c>
      <c r="U59" s="42"/>
      <c r="V59" s="41">
        <f>(Q59-P59)/C59*1000</f>
        <v>30.748367029548991</v>
      </c>
    </row>
    <row r="60" spans="1:22" x14ac:dyDescent="0.25">
      <c r="A60" s="35" t="s">
        <v>91</v>
      </c>
      <c r="B60" s="1">
        <v>43257</v>
      </c>
      <c r="C60" s="37">
        <v>41935000</v>
      </c>
      <c r="D60" s="15" t="s">
        <v>22</v>
      </c>
      <c r="E60" s="36">
        <f>314512.5+10000</f>
        <v>324512.5</v>
      </c>
      <c r="F60" s="36">
        <v>105000</v>
      </c>
      <c r="G60" s="19" t="s">
        <v>68</v>
      </c>
      <c r="H60" s="36">
        <v>76000</v>
      </c>
      <c r="I60" s="36">
        <v>35750</v>
      </c>
      <c r="J60" s="36">
        <v>47750</v>
      </c>
      <c r="K60" s="36">
        <v>12500</v>
      </c>
      <c r="L60" s="36">
        <v>130000</v>
      </c>
      <c r="M60" s="36">
        <v>7250</v>
      </c>
      <c r="N60" s="36">
        <v>82000</v>
      </c>
      <c r="O60" s="36">
        <v>0</v>
      </c>
      <c r="P60" s="36">
        <v>253750</v>
      </c>
      <c r="Q60" s="45">
        <f>SUM(E60:P60)</f>
        <v>1074512.5</v>
      </c>
      <c r="S60" s="39">
        <f>SUM(Q60/C60)*1000</f>
        <v>25.623286037915822</v>
      </c>
      <c r="T60" s="40">
        <f>SUM(E60/C60)*1000</f>
        <v>7.7384642899725771</v>
      </c>
      <c r="U60" s="42"/>
      <c r="V60" s="41">
        <f>(Q60-P60)/C60*1000</f>
        <v>19.572254679861693</v>
      </c>
    </row>
    <row r="61" spans="1:22" x14ac:dyDescent="0.25">
      <c r="A61" s="35" t="s">
        <v>96</v>
      </c>
      <c r="B61" s="1">
        <v>43266</v>
      </c>
      <c r="C61" s="37">
        <v>12500000</v>
      </c>
      <c r="D61" s="15" t="s">
        <v>94</v>
      </c>
      <c r="E61" s="36">
        <f>187500+2500</f>
        <v>190000</v>
      </c>
      <c r="F61" s="36">
        <v>20000</v>
      </c>
      <c r="G61" s="19" t="s">
        <v>63</v>
      </c>
      <c r="H61" s="36">
        <v>48950</v>
      </c>
      <c r="I61" s="36">
        <v>55825</v>
      </c>
      <c r="J61" s="36">
        <v>20759</v>
      </c>
      <c r="K61" s="36">
        <v>7500</v>
      </c>
      <c r="L61" s="36">
        <v>18000</v>
      </c>
      <c r="M61" s="36">
        <v>3500</v>
      </c>
      <c r="N61" s="36">
        <v>0</v>
      </c>
      <c r="O61" s="36">
        <v>0</v>
      </c>
      <c r="P61" s="36">
        <v>41649.5</v>
      </c>
      <c r="Q61" s="45">
        <f t="shared" ref="Q61:Q62" si="10">SUM(E61:P61)</f>
        <v>406183.5</v>
      </c>
      <c r="S61" s="39">
        <f t="shared" ref="S61:S62" si="11">SUM(Q61/C61)*1000</f>
        <v>32.494679999999995</v>
      </c>
      <c r="T61" s="40">
        <f t="shared" ref="T61:T62" si="12">SUM(E61/C61)*1000</f>
        <v>15.2</v>
      </c>
      <c r="V61" s="41">
        <f>(Q61-P61)/C61*1000</f>
        <v>29.16272</v>
      </c>
    </row>
    <row r="62" spans="1:22" x14ac:dyDescent="0.25">
      <c r="A62" s="35" t="s">
        <v>97</v>
      </c>
      <c r="B62" s="1">
        <v>43370</v>
      </c>
      <c r="C62" s="37">
        <v>8290000</v>
      </c>
      <c r="D62" s="15" t="s">
        <v>94</v>
      </c>
      <c r="E62" s="36">
        <v>124350</v>
      </c>
      <c r="F62" s="36">
        <v>20000</v>
      </c>
      <c r="G62" s="19" t="s">
        <v>65</v>
      </c>
      <c r="H62" s="36">
        <v>33160</v>
      </c>
      <c r="I62" s="36">
        <v>55000</v>
      </c>
      <c r="J62" s="36">
        <v>16961</v>
      </c>
      <c r="K62" s="36">
        <v>7500</v>
      </c>
      <c r="L62" s="36">
        <v>9000</v>
      </c>
      <c r="M62" s="36">
        <v>4750</v>
      </c>
      <c r="N62" s="36">
        <v>0</v>
      </c>
      <c r="O62" s="36">
        <v>0</v>
      </c>
      <c r="P62" s="36">
        <f>1946.53+1776.25+3850+12026.8+3000</f>
        <v>22599.579999999998</v>
      </c>
      <c r="Q62" s="45">
        <f t="shared" si="10"/>
        <v>293320.58</v>
      </c>
      <c r="S62" s="39">
        <f t="shared" si="11"/>
        <v>35.382458383594695</v>
      </c>
      <c r="T62" s="40">
        <f t="shared" si="12"/>
        <v>15</v>
      </c>
      <c r="V62" s="41">
        <f>(Q62-P62)/C62*1000</f>
        <v>32.65633293124246</v>
      </c>
    </row>
    <row r="65" spans="10:17" x14ac:dyDescent="0.25">
      <c r="Q65" s="49"/>
    </row>
    <row r="69" spans="10:17" x14ac:dyDescent="0.25">
      <c r="J69" s="47"/>
      <c r="K69" s="47"/>
      <c r="L69" s="47"/>
      <c r="M69" s="47"/>
      <c r="N69" s="47"/>
      <c r="O69" s="47"/>
    </row>
    <row r="70" spans="10:17" x14ac:dyDescent="0.25">
      <c r="J70" s="48"/>
      <c r="K70" s="48"/>
      <c r="L70" s="48"/>
      <c r="M70" s="48"/>
      <c r="N70" s="48"/>
    </row>
  </sheetData>
  <sortState ref="A7:V42">
    <sortCondition ref="B7:B42"/>
  </sortState>
  <mergeCells count="2">
    <mergeCell ref="A1:Q1"/>
    <mergeCell ref="A2:Q2"/>
  </mergeCells>
  <pageMargins left="0.7" right="0.7" top="0.75" bottom="0.75" header="0.3" footer="0.3"/>
  <pageSetup paperSize="5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Zions Bank Public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Bronson</dc:creator>
  <cp:lastModifiedBy>Brittany Griffin</cp:lastModifiedBy>
  <cp:lastPrinted>2018-11-26T15:14:00Z</cp:lastPrinted>
  <dcterms:created xsi:type="dcterms:W3CDTF">2015-09-25T18:22:52Z</dcterms:created>
  <dcterms:modified xsi:type="dcterms:W3CDTF">2018-12-04T18:51:34Z</dcterms:modified>
</cp:coreProperties>
</file>